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Chapter 14 Excel Sheets/"/>
    </mc:Choice>
  </mc:AlternateContent>
  <xr:revisionPtr revIDLastSave="0" documentId="10_ncr:8100000_{D6F57B39-8656-3D42-B3E0-C9087DD85FAF}" xr6:coauthVersionLast="34" xr6:coauthVersionMax="34" xr10:uidLastSave="{00000000-0000-0000-0000-000000000000}"/>
  <bookViews>
    <workbookView xWindow="0" yWindow="460" windowWidth="25600" windowHeight="15540" tabRatio="833" firstSheet="1" activeTab="10" xr2:uid="{00000000-000D-0000-FFFF-FFFF00000000}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9" l="1"/>
  <c r="D17" i="9"/>
  <c r="C17" i="9"/>
  <c r="G2" i="18"/>
  <c r="G3" i="18"/>
  <c r="G5" i="18" s="1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H7" i="17"/>
  <c r="C10" i="17"/>
  <c r="D10" i="17"/>
  <c r="E10" i="17"/>
  <c r="F10" i="17"/>
  <c r="G10" i="17"/>
  <c r="B11" i="17"/>
  <c r="J11" i="17" a="1"/>
  <c r="L11" i="17" s="1"/>
  <c r="K11" i="17"/>
  <c r="M11" i="17"/>
  <c r="B12" i="17"/>
  <c r="K12" i="17"/>
  <c r="M12" i="17"/>
  <c r="B13" i="17"/>
  <c r="B20" i="17" s="1"/>
  <c r="K13" i="17"/>
  <c r="M13" i="17"/>
  <c r="B14" i="17"/>
  <c r="B21" i="17" s="1"/>
  <c r="B28" i="17" s="1"/>
  <c r="K14" i="17"/>
  <c r="M14" i="17"/>
  <c r="B15" i="17"/>
  <c r="K15" i="17"/>
  <c r="M15" i="17"/>
  <c r="C17" i="17"/>
  <c r="D17" i="17"/>
  <c r="E17" i="17"/>
  <c r="F17" i="17"/>
  <c r="G17" i="17"/>
  <c r="B18" i="17"/>
  <c r="D25" i="17"/>
  <c r="E25" i="17"/>
  <c r="F25" i="17"/>
  <c r="G25" i="17"/>
  <c r="B19" i="17"/>
  <c r="B26" i="17" s="1"/>
  <c r="E26" i="17"/>
  <c r="F26" i="17"/>
  <c r="G26" i="17"/>
  <c r="F27" i="17"/>
  <c r="G27" i="17"/>
  <c r="G28" i="17"/>
  <c r="B22" i="17"/>
  <c r="B29" i="17" s="1"/>
  <c r="C24" i="17"/>
  <c r="D24" i="17"/>
  <c r="E24" i="17"/>
  <c r="F24" i="17"/>
  <c r="G24" i="17"/>
  <c r="B25" i="17"/>
  <c r="B27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C26" i="5"/>
  <c r="C34" i="5"/>
  <c r="D26" i="5"/>
  <c r="D34" i="5"/>
  <c r="E34" i="5"/>
  <c r="F34" i="5"/>
  <c r="B27" i="5"/>
  <c r="B35" i="5"/>
  <c r="D27" i="5"/>
  <c r="D35" i="5"/>
  <c r="E35" i="5"/>
  <c r="F35" i="5"/>
  <c r="B28" i="5"/>
  <c r="B36" i="5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E46" i="3" s="1"/>
  <c r="F40" i="3"/>
  <c r="H40" i="3"/>
  <c r="I40" i="3"/>
  <c r="J40" i="3"/>
  <c r="J46" i="3" s="1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 s="1"/>
  <c r="O45" i="3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O61" i="3" s="1"/>
  <c r="B59" i="3"/>
  <c r="B60" i="3"/>
  <c r="E27" i="3"/>
  <c r="F27" i="3"/>
  <c r="G27" i="3"/>
  <c r="H27" i="3"/>
  <c r="I27" i="3"/>
  <c r="J27" i="3"/>
  <c r="J29" i="3" s="1"/>
  <c r="K27" i="3"/>
  <c r="L27" i="3"/>
  <c r="M27" i="3"/>
  <c r="N27" i="3"/>
  <c r="O27" i="3"/>
  <c r="D27" i="3"/>
  <c r="C27" i="3"/>
  <c r="B27" i="3"/>
  <c r="B26" i="3"/>
  <c r="E19" i="3"/>
  <c r="E42" i="3" s="1"/>
  <c r="F19" i="3"/>
  <c r="F42" i="3"/>
  <c r="F46" i="3" s="1"/>
  <c r="H19" i="3"/>
  <c r="H42" i="3" s="1"/>
  <c r="H46" i="3" s="1"/>
  <c r="I19" i="3"/>
  <c r="I41" i="3"/>
  <c r="I45" i="3" s="1"/>
  <c r="J19" i="3"/>
  <c r="J42" i="3" s="1"/>
  <c r="K19" i="3"/>
  <c r="K41" i="3"/>
  <c r="K45" i="3" s="1"/>
  <c r="L19" i="3"/>
  <c r="L42" i="3" s="1"/>
  <c r="L46" i="3" s="1"/>
  <c r="N19" i="3"/>
  <c r="N42" i="3"/>
  <c r="D19" i="3"/>
  <c r="D24" i="3" s="1"/>
  <c r="C19" i="3"/>
  <c r="B6" i="10"/>
  <c r="T32" i="10" s="1"/>
  <c r="E32" i="10"/>
  <c r="R33" i="10"/>
  <c r="P34" i="10"/>
  <c r="F35" i="10"/>
  <c r="N35" i="10"/>
  <c r="V35" i="10"/>
  <c r="L36" i="10"/>
  <c r="T36" i="10"/>
  <c r="J37" i="10"/>
  <c r="R37" i="10"/>
  <c r="H38" i="10"/>
  <c r="P38" i="10"/>
  <c r="T38" i="10"/>
  <c r="F39" i="10"/>
  <c r="J39" i="10"/>
  <c r="N39" i="10"/>
  <c r="R39" i="10"/>
  <c r="V39" i="10"/>
  <c r="H40" i="10"/>
  <c r="L40" i="10"/>
  <c r="P40" i="10"/>
  <c r="T40" i="10"/>
  <c r="F41" i="10"/>
  <c r="J41" i="10"/>
  <c r="N41" i="10"/>
  <c r="R41" i="10"/>
  <c r="V41" i="10"/>
  <c r="H42" i="10"/>
  <c r="L42" i="10"/>
  <c r="P42" i="10"/>
  <c r="T42" i="10"/>
  <c r="F43" i="10"/>
  <c r="J43" i="10"/>
  <c r="N43" i="10"/>
  <c r="R43" i="10"/>
  <c r="V43" i="10"/>
  <c r="H44" i="10"/>
  <c r="L44" i="10"/>
  <c r="P44" i="10"/>
  <c r="T44" i="10"/>
  <c r="F45" i="10"/>
  <c r="J45" i="10"/>
  <c r="N45" i="10"/>
  <c r="R45" i="10"/>
  <c r="V45" i="10"/>
  <c r="H46" i="10"/>
  <c r="L46" i="10"/>
  <c r="P46" i="10"/>
  <c r="T46" i="10"/>
  <c r="F47" i="10"/>
  <c r="J47" i="10"/>
  <c r="N47" i="10"/>
  <c r="R47" i="10"/>
  <c r="V47" i="10"/>
  <c r="H48" i="10"/>
  <c r="L48" i="10"/>
  <c r="P48" i="10"/>
  <c r="T48" i="10"/>
  <c r="G31" i="10"/>
  <c r="K31" i="10"/>
  <c r="O31" i="10"/>
  <c r="S31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 s="1"/>
  <c r="S9" i="10"/>
  <c r="S30" i="10" s="1"/>
  <c r="T9" i="10"/>
  <c r="T30" i="10" s="1"/>
  <c r="U9" i="10"/>
  <c r="U30" i="10" s="1"/>
  <c r="V9" i="10"/>
  <c r="V30" i="10" s="1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/>
  <c r="G9" i="10"/>
  <c r="G30" i="10"/>
  <c r="H9" i="10"/>
  <c r="H30" i="10"/>
  <c r="I9" i="10"/>
  <c r="I30" i="10"/>
  <c r="J9" i="10"/>
  <c r="J30" i="10"/>
  <c r="K9" i="10"/>
  <c r="K30" i="10"/>
  <c r="L9" i="10"/>
  <c r="L30" i="10"/>
  <c r="M9" i="10"/>
  <c r="M30" i="10"/>
  <c r="N9" i="10"/>
  <c r="N30" i="10"/>
  <c r="O9" i="10"/>
  <c r="O30" i="10"/>
  <c r="P9" i="10"/>
  <c r="P30" i="10"/>
  <c r="Q9" i="10"/>
  <c r="Q30" i="10"/>
  <c r="E9" i="10"/>
  <c r="E30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/>
  <c r="T27" i="16"/>
  <c r="X27" i="16"/>
  <c r="W27" i="16"/>
  <c r="T26" i="16"/>
  <c r="W26" i="16" s="1"/>
  <c r="T25" i="16"/>
  <c r="X25" i="16"/>
  <c r="T24" i="16"/>
  <c r="W24" i="16"/>
  <c r="T23" i="16"/>
  <c r="W23" i="16" s="1"/>
  <c r="X23" i="16"/>
  <c r="T22" i="16"/>
  <c r="W22" i="16" s="1"/>
  <c r="T21" i="16"/>
  <c r="X21" i="16"/>
  <c r="W21" i="16"/>
  <c r="T20" i="16"/>
  <c r="W20" i="16" s="1"/>
  <c r="T19" i="16"/>
  <c r="X19" i="16"/>
  <c r="T18" i="16"/>
  <c r="W18" i="16"/>
  <c r="U18" i="16"/>
  <c r="T17" i="16"/>
  <c r="X17" i="16" s="1"/>
  <c r="T16" i="16"/>
  <c r="U16" i="16" s="1"/>
  <c r="AE8" i="16" s="1"/>
  <c r="W16" i="16"/>
  <c r="T15" i="16"/>
  <c r="X15" i="16" s="1"/>
  <c r="T14" i="16"/>
  <c r="W14" i="16" s="1"/>
  <c r="T13" i="16"/>
  <c r="W13" i="16" s="1"/>
  <c r="X13" i="16"/>
  <c r="T12" i="16"/>
  <c r="W12" i="16" s="1"/>
  <c r="T11" i="16"/>
  <c r="X11" i="16"/>
  <c r="T10" i="16"/>
  <c r="U10" i="16" s="1"/>
  <c r="W10" i="16"/>
  <c r="T29" i="16"/>
  <c r="AG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 s="1"/>
  <c r="B54" i="3"/>
  <c r="E54" i="3"/>
  <c r="H55" i="3" s="1"/>
  <c r="B55" i="3"/>
  <c r="E55" i="3"/>
  <c r="C56" i="3"/>
  <c r="D56" i="3"/>
  <c r="E56" i="3"/>
  <c r="F56" i="3"/>
  <c r="G14" i="3"/>
  <c r="G56" i="3" s="1"/>
  <c r="G40" i="3"/>
  <c r="H56" i="3"/>
  <c r="I56" i="3"/>
  <c r="J56" i="3"/>
  <c r="K56" i="3"/>
  <c r="L56" i="3"/>
  <c r="M14" i="3"/>
  <c r="M40" i="3"/>
  <c r="N56" i="3"/>
  <c r="O56" i="3"/>
  <c r="B56" i="3"/>
  <c r="B40" i="3"/>
  <c r="E25" i="3"/>
  <c r="I25" i="3"/>
  <c r="O25" i="3"/>
  <c r="C23" i="3"/>
  <c r="D23" i="3"/>
  <c r="E23" i="3"/>
  <c r="F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C16" i="12"/>
  <c r="B42" i="9"/>
  <c r="C42" i="9"/>
  <c r="D42" i="9"/>
  <c r="E42" i="9"/>
  <c r="F42" i="9"/>
  <c r="G24" i="9" a="1"/>
  <c r="G24" i="9" s="1"/>
  <c r="G25" i="9" a="1"/>
  <c r="G25" i="9" s="1"/>
  <c r="G26" i="9" a="1"/>
  <c r="G26" i="9" s="1"/>
  <c r="G27" i="9" a="1"/>
  <c r="G28" i="9" a="1"/>
  <c r="G28" i="9"/>
  <c r="G29" i="9" a="1"/>
  <c r="G29" i="9" s="1"/>
  <c r="G30" i="9" a="1"/>
  <c r="G30" i="9"/>
  <c r="G31" i="9" a="1"/>
  <c r="G31" i="9" s="1"/>
  <c r="G32" i="9" a="1"/>
  <c r="G32" i="9"/>
  <c r="G33" i="9" a="1"/>
  <c r="G33" i="9"/>
  <c r="G34" i="9" a="1"/>
  <c r="G34" i="9"/>
  <c r="G35" i="9" a="1"/>
  <c r="G36" i="9" a="1"/>
  <c r="G36" i="9" s="1"/>
  <c r="G37" i="9" a="1"/>
  <c r="G37" i="9"/>
  <c r="G38" i="9" a="1"/>
  <c r="G39" i="9" a="1"/>
  <c r="G39" i="9" s="1"/>
  <c r="G40" i="9" a="1"/>
  <c r="G41" i="9" a="1"/>
  <c r="G41" i="9" s="1"/>
  <c r="B43" i="9"/>
  <c r="I27" i="9" s="1"/>
  <c r="C43" i="9"/>
  <c r="J28" i="9" s="1"/>
  <c r="D43" i="9"/>
  <c r="E43" i="9"/>
  <c r="L26" i="9" s="1"/>
  <c r="F43" i="9"/>
  <c r="K25" i="9"/>
  <c r="K27" i="9"/>
  <c r="M27" i="9"/>
  <c r="K29" i="9"/>
  <c r="K31" i="9"/>
  <c r="M31" i="9"/>
  <c r="K33" i="9"/>
  <c r="K35" i="9"/>
  <c r="M35" i="9"/>
  <c r="K37" i="9"/>
  <c r="K39" i="9"/>
  <c r="M39" i="9"/>
  <c r="K41" i="9"/>
  <c r="C46" i="9" a="1"/>
  <c r="C46" i="9" s="1"/>
  <c r="B46" i="9" a="1"/>
  <c r="B46" i="9" s="1"/>
  <c r="B48" i="9" s="1"/>
  <c r="D46" i="9" a="1"/>
  <c r="D46" i="9" s="1"/>
  <c r="E46" i="9" a="1"/>
  <c r="E46" i="9" s="1"/>
  <c r="F46" i="9" a="1"/>
  <c r="F46" i="9" s="1"/>
  <c r="C45" i="9" a="1"/>
  <c r="B45" i="9" a="1"/>
  <c r="B45" i="9"/>
  <c r="B47" i="9" s="1"/>
  <c r="D45" i="9" a="1"/>
  <c r="D45" i="9"/>
  <c r="E45" i="9" a="1"/>
  <c r="E45" i="9"/>
  <c r="F45" i="9" a="1"/>
  <c r="F17" i="9"/>
  <c r="F16" i="12" s="1"/>
  <c r="E17" i="9"/>
  <c r="E16" i="12" s="1"/>
  <c r="C45" i="9"/>
  <c r="C47" i="9" s="1"/>
  <c r="F45" i="9"/>
  <c r="A36" i="9"/>
  <c r="H36" i="9"/>
  <c r="A37" i="9"/>
  <c r="H37" i="9"/>
  <c r="A38" i="9"/>
  <c r="H38" i="9"/>
  <c r="A39" i="9"/>
  <c r="H39" i="9"/>
  <c r="A40" i="9"/>
  <c r="H40" i="9"/>
  <c r="A41" i="9"/>
  <c r="H41" i="9"/>
  <c r="G38" i="9"/>
  <c r="G40" i="9"/>
  <c r="G27" i="9"/>
  <c r="G35" i="9"/>
  <c r="A35" i="9"/>
  <c r="H35" i="9"/>
  <c r="A30" i="9"/>
  <c r="H30" i="9"/>
  <c r="A31" i="9"/>
  <c r="H31" i="9"/>
  <c r="A32" i="9"/>
  <c r="H32" i="9"/>
  <c r="A33" i="9"/>
  <c r="H33" i="9"/>
  <c r="A34" i="9"/>
  <c r="H34" i="9"/>
  <c r="A25" i="9"/>
  <c r="H25" i="9"/>
  <c r="A26" i="9"/>
  <c r="H26" i="9"/>
  <c r="A27" i="9"/>
  <c r="H27" i="9"/>
  <c r="A28" i="9"/>
  <c r="H28" i="9"/>
  <c r="A29" i="9"/>
  <c r="H29" i="9"/>
  <c r="A24" i="9"/>
  <c r="H24" i="9"/>
  <c r="F20" i="12"/>
  <c r="E20" i="12"/>
  <c r="D20" i="12"/>
  <c r="C20" i="12"/>
  <c r="B20" i="12"/>
  <c r="F40" i="12"/>
  <c r="E40" i="12"/>
  <c r="D40" i="12"/>
  <c r="C40" i="12"/>
  <c r="B40" i="12"/>
  <c r="F39" i="12"/>
  <c r="E39" i="12"/>
  <c r="D39" i="12"/>
  <c r="C39" i="12"/>
  <c r="B39" i="12"/>
  <c r="G39" i="12" s="1" a="1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G36" i="12" a="1"/>
  <c r="F35" i="12"/>
  <c r="E35" i="12"/>
  <c r="D35" i="12"/>
  <c r="C35" i="12"/>
  <c r="G35" i="12" s="1" a="1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G32" i="12" s="1" a="1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G28" i="12" s="1" a="1"/>
  <c r="B28" i="12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C25" i="12"/>
  <c r="B25" i="12"/>
  <c r="F24" i="12"/>
  <c r="E24" i="12"/>
  <c r="G24" i="12" s="1" a="1"/>
  <c r="D24" i="12"/>
  <c r="C24" i="12"/>
  <c r="B24" i="12"/>
  <c r="F23" i="12"/>
  <c r="E23" i="12"/>
  <c r="E41" i="12" s="1"/>
  <c r="D23" i="12"/>
  <c r="C23" i="12"/>
  <c r="B23" i="12"/>
  <c r="B45" i="12" a="1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31" i="12" a="1"/>
  <c r="F44" i="12" a="1"/>
  <c r="F44" i="12" s="1"/>
  <c r="A35" i="12"/>
  <c r="H35" i="12" s="1"/>
  <c r="A36" i="12"/>
  <c r="H36" i="12" s="1"/>
  <c r="A37" i="12"/>
  <c r="H37" i="12" s="1"/>
  <c r="A38" i="12"/>
  <c r="H38" i="12" s="1"/>
  <c r="A39" i="12"/>
  <c r="H39" i="12" s="1"/>
  <c r="A40" i="12"/>
  <c r="H40" i="12" s="1"/>
  <c r="A34" i="12"/>
  <c r="H34" i="12" s="1"/>
  <c r="A29" i="12"/>
  <c r="H29" i="12" s="1"/>
  <c r="A30" i="12"/>
  <c r="H30" i="12" s="1"/>
  <c r="A31" i="12"/>
  <c r="H31" i="12" s="1"/>
  <c r="A32" i="12"/>
  <c r="H32" i="12" s="1"/>
  <c r="A33" i="12"/>
  <c r="H33" i="12" s="1"/>
  <c r="A24" i="12"/>
  <c r="H24" i="12" s="1"/>
  <c r="A25" i="12"/>
  <c r="H25" i="12" s="1"/>
  <c r="A26" i="12"/>
  <c r="H26" i="12" s="1"/>
  <c r="A27" i="12"/>
  <c r="H27" i="12" s="1"/>
  <c r="A28" i="12"/>
  <c r="H28" i="12" s="1"/>
  <c r="A23" i="12"/>
  <c r="H23" i="12" s="1"/>
  <c r="E44" i="15"/>
  <c r="L23" i="15"/>
  <c r="L27" i="15"/>
  <c r="L29" i="15"/>
  <c r="L31" i="15"/>
  <c r="L33" i="15"/>
  <c r="L35" i="15"/>
  <c r="L37" i="15"/>
  <c r="L39" i="15"/>
  <c r="L41" i="15"/>
  <c r="D44" i="15"/>
  <c r="K38" i="15" s="1"/>
  <c r="K34" i="15"/>
  <c r="D43" i="15"/>
  <c r="C43" i="15"/>
  <c r="F43" i="15"/>
  <c r="G43" i="15"/>
  <c r="E43" i="15"/>
  <c r="H23" i="15" a="1"/>
  <c r="H23" i="15"/>
  <c r="H24" i="15" a="1"/>
  <c r="H24" i="15" s="1"/>
  <c r="H25" i="15" a="1"/>
  <c r="H25" i="15" s="1"/>
  <c r="H26" i="15" a="1"/>
  <c r="H26" i="15"/>
  <c r="H27" i="15" a="1"/>
  <c r="H27" i="15" s="1"/>
  <c r="H28" i="15" a="1"/>
  <c r="H29" i="15" a="1"/>
  <c r="H29" i="15"/>
  <c r="H30" i="15" a="1"/>
  <c r="H30" i="15"/>
  <c r="H31" i="15" a="1"/>
  <c r="H31" i="15" s="1"/>
  <c r="H32" i="15" a="1"/>
  <c r="H32" i="15" s="1"/>
  <c r="H33" i="15" a="1"/>
  <c r="H33" i="15" s="1"/>
  <c r="H34" i="15" a="1"/>
  <c r="H34" i="15" s="1"/>
  <c r="H35" i="15" a="1"/>
  <c r="H35" i="15" s="1"/>
  <c r="H36" i="15" a="1"/>
  <c r="H37" i="15" a="1"/>
  <c r="H37" i="15" s="1"/>
  <c r="H38" i="15" a="1"/>
  <c r="H38" i="15" s="1"/>
  <c r="H39" i="15" a="1"/>
  <c r="H39" i="15" s="1"/>
  <c r="H40" i="15" a="1"/>
  <c r="H41" i="15" a="1"/>
  <c r="H42" i="15" a="1"/>
  <c r="H42" i="15"/>
  <c r="C44" i="15"/>
  <c r="J42" i="15" s="1"/>
  <c r="J23" i="15"/>
  <c r="J25" i="15"/>
  <c r="J27" i="15"/>
  <c r="J31" i="15"/>
  <c r="J33" i="15"/>
  <c r="J35" i="15"/>
  <c r="J39" i="15"/>
  <c r="J41" i="15"/>
  <c r="F44" i="15"/>
  <c r="M23" i="15" s="1"/>
  <c r="M25" i="15"/>
  <c r="M27" i="15"/>
  <c r="M29" i="15"/>
  <c r="M33" i="15"/>
  <c r="M35" i="15"/>
  <c r="M37" i="15"/>
  <c r="M41" i="15"/>
  <c r="G44" i="15"/>
  <c r="N26" i="15"/>
  <c r="N28" i="15"/>
  <c r="N34" i="15"/>
  <c r="N36" i="15"/>
  <c r="N42" i="15"/>
  <c r="G16" i="15"/>
  <c r="C16" i="15"/>
  <c r="D16" i="15"/>
  <c r="F16" i="15"/>
  <c r="H36" i="15"/>
  <c r="H40" i="15"/>
  <c r="H41" i="15"/>
  <c r="H28" i="15"/>
  <c r="A12" i="4"/>
  <c r="A13" i="4" s="1"/>
  <c r="B31" i="4"/>
  <c r="B11" i="4"/>
  <c r="L11" i="4"/>
  <c r="D7" i="4"/>
  <c r="D6" i="4"/>
  <c r="D31" i="4"/>
  <c r="E31" i="4"/>
  <c r="D30" i="4"/>
  <c r="F30" i="4" s="1"/>
  <c r="D29" i="4"/>
  <c r="E29" i="4" s="1"/>
  <c r="D28" i="4"/>
  <c r="F28" i="4" s="1"/>
  <c r="D27" i="4"/>
  <c r="E27" i="4"/>
  <c r="D26" i="4"/>
  <c r="F26" i="4" s="1"/>
  <c r="D25" i="4"/>
  <c r="E25" i="4" s="1"/>
  <c r="D24" i="4"/>
  <c r="F24" i="4" s="1"/>
  <c r="D23" i="4"/>
  <c r="E23" i="4"/>
  <c r="D22" i="4"/>
  <c r="F22" i="4" s="1"/>
  <c r="D21" i="4"/>
  <c r="E21" i="4" s="1"/>
  <c r="D20" i="4"/>
  <c r="F20" i="4" s="1"/>
  <c r="D19" i="4"/>
  <c r="E19" i="4"/>
  <c r="D18" i="4"/>
  <c r="F18" i="4" s="1"/>
  <c r="D17" i="4"/>
  <c r="E17" i="4" s="1"/>
  <c r="D16" i="4"/>
  <c r="F16" i="4" s="1"/>
  <c r="D15" i="4"/>
  <c r="E15" i="4"/>
  <c r="D14" i="4"/>
  <c r="F14" i="4" s="1"/>
  <c r="D13" i="4"/>
  <c r="E13" i="4" s="1"/>
  <c r="D12" i="4"/>
  <c r="F12" i="4" s="1"/>
  <c r="D11" i="4"/>
  <c r="F11" i="4"/>
  <c r="E6" i="4"/>
  <c r="E7" i="4"/>
  <c r="F6" i="4"/>
  <c r="B23" i="5" a="1"/>
  <c r="B23" i="5" s="1"/>
  <c r="D23" i="5" a="1"/>
  <c r="J14" i="5"/>
  <c r="K14" i="5"/>
  <c r="L14" i="5"/>
  <c r="M14" i="5"/>
  <c r="I14" i="5"/>
  <c r="D23" i="5"/>
  <c r="F22" i="5" s="1"/>
  <c r="I23" i="5" a="1"/>
  <c r="I23" i="5"/>
  <c r="K23" i="5" a="1"/>
  <c r="K23" i="5" s="1"/>
  <c r="R13" i="5"/>
  <c r="P14" i="5"/>
  <c r="R16" i="5"/>
  <c r="Q15" i="5"/>
  <c r="R15" i="5"/>
  <c r="P15" i="5"/>
  <c r="Q13" i="5"/>
  <c r="P13" i="5"/>
  <c r="J25" i="3"/>
  <c r="H25" i="3"/>
  <c r="H29" i="3" s="1"/>
  <c r="K25" i="3"/>
  <c r="K29" i="3" s="1"/>
  <c r="V11" i="16"/>
  <c r="V13" i="16"/>
  <c r="V15" i="16"/>
  <c r="V17" i="16"/>
  <c r="AF9" i="16" s="1"/>
  <c r="AD35" i="16" s="1"/>
  <c r="V19" i="16"/>
  <c r="V21" i="16"/>
  <c r="V23" i="16"/>
  <c r="V25" i="16"/>
  <c r="AS25" i="16" s="1"/>
  <c r="V27" i="16"/>
  <c r="F32" i="10"/>
  <c r="L22" i="5"/>
  <c r="L24" i="9"/>
  <c r="L25" i="9"/>
  <c r="L27" i="9"/>
  <c r="L29" i="9"/>
  <c r="L31" i="9"/>
  <c r="L33" i="9"/>
  <c r="L35" i="9"/>
  <c r="L37" i="9"/>
  <c r="L39" i="9"/>
  <c r="L41" i="9"/>
  <c r="H54" i="3"/>
  <c r="E57" i="3" s="1"/>
  <c r="E61" i="3"/>
  <c r="D58" i="3"/>
  <c r="Y18" i="16"/>
  <c r="W44" i="16"/>
  <c r="Y16" i="16"/>
  <c r="W42" i="16" s="1"/>
  <c r="Y10" i="16"/>
  <c r="W36" i="16"/>
  <c r="AE18" i="16"/>
  <c r="AC44" i="16" s="1"/>
  <c r="AE16" i="16"/>
  <c r="AC42" i="16"/>
  <c r="AE10" i="16"/>
  <c r="AC36" i="16" s="1"/>
  <c r="AG18" i="16"/>
  <c r="AE44" i="16"/>
  <c r="AG16" i="16"/>
  <c r="AE42" i="16" s="1"/>
  <c r="AG10" i="16"/>
  <c r="AE36" i="16"/>
  <c r="K25" i="15"/>
  <c r="K27" i="15"/>
  <c r="K33" i="15"/>
  <c r="K35" i="15"/>
  <c r="K41" i="15"/>
  <c r="J25" i="9"/>
  <c r="J27" i="9"/>
  <c r="J29" i="9"/>
  <c r="J33" i="9"/>
  <c r="J35" i="9"/>
  <c r="J37" i="9"/>
  <c r="J41" i="9"/>
  <c r="M42" i="15"/>
  <c r="M24" i="15"/>
  <c r="M26" i="15"/>
  <c r="M28" i="15"/>
  <c r="M30" i="15"/>
  <c r="M32" i="15"/>
  <c r="M34" i="15"/>
  <c r="M36" i="15"/>
  <c r="M38" i="15"/>
  <c r="M40" i="15"/>
  <c r="E45" i="12" a="1"/>
  <c r="E45" i="12" s="1"/>
  <c r="G24" i="12"/>
  <c r="M24" i="9"/>
  <c r="M26" i="9"/>
  <c r="M28" i="9"/>
  <c r="M30" i="9"/>
  <c r="M32" i="9"/>
  <c r="M34" i="9"/>
  <c r="M36" i="9"/>
  <c r="M38" i="9"/>
  <c r="M40" i="9"/>
  <c r="K24" i="9"/>
  <c r="K26" i="9"/>
  <c r="K28" i="9"/>
  <c r="K30" i="9"/>
  <c r="K32" i="9"/>
  <c r="K34" i="9"/>
  <c r="K36" i="9"/>
  <c r="K38" i="9"/>
  <c r="K40" i="9"/>
  <c r="I24" i="9"/>
  <c r="I26" i="9"/>
  <c r="I28" i="9"/>
  <c r="I30" i="9"/>
  <c r="I32" i="9"/>
  <c r="I34" i="9"/>
  <c r="I36" i="9"/>
  <c r="I38" i="9"/>
  <c r="I40" i="9"/>
  <c r="A12" i="14"/>
  <c r="D12" i="14" s="1"/>
  <c r="B12" i="14"/>
  <c r="F12" i="14"/>
  <c r="B11" i="14"/>
  <c r="C11" i="14"/>
  <c r="E22" i="5"/>
  <c r="K40" i="15"/>
  <c r="K36" i="15"/>
  <c r="K32" i="15"/>
  <c r="K28" i="15"/>
  <c r="K24" i="15"/>
  <c r="L40" i="9"/>
  <c r="J38" i="9"/>
  <c r="L36" i="9"/>
  <c r="J34" i="9"/>
  <c r="L32" i="9"/>
  <c r="J30" i="9"/>
  <c r="L28" i="9"/>
  <c r="J26" i="9"/>
  <c r="F25" i="3"/>
  <c r="F29" i="3" s="1"/>
  <c r="D25" i="3"/>
  <c r="D29" i="3" s="1"/>
  <c r="X10" i="16"/>
  <c r="V10" i="16"/>
  <c r="X12" i="16"/>
  <c r="V12" i="16"/>
  <c r="X14" i="16"/>
  <c r="V14" i="16"/>
  <c r="X16" i="16"/>
  <c r="V16" i="16"/>
  <c r="X18" i="16"/>
  <c r="V18" i="16"/>
  <c r="X20" i="16"/>
  <c r="V20" i="16"/>
  <c r="X22" i="16"/>
  <c r="V22" i="16"/>
  <c r="X24" i="16"/>
  <c r="V24" i="16"/>
  <c r="X26" i="16"/>
  <c r="V26" i="16"/>
  <c r="X28" i="16"/>
  <c r="V28" i="16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V51" i="16"/>
  <c r="AJ9" i="16"/>
  <c r="AH35" i="16"/>
  <c r="V47" i="16"/>
  <c r="B34" i="15"/>
  <c r="I34" i="15" s="1"/>
  <c r="AS21" i="16"/>
  <c r="B30" i="15"/>
  <c r="I30" i="15" s="1"/>
  <c r="V43" i="16"/>
  <c r="AB9" i="16"/>
  <c r="Z35" i="16"/>
  <c r="V39" i="16"/>
  <c r="B26" i="15"/>
  <c r="I26" i="15" s="1"/>
  <c r="AS13" i="16"/>
  <c r="AP9" i="16"/>
  <c r="AN35" i="16"/>
  <c r="V53" i="16"/>
  <c r="V49" i="16"/>
  <c r="AH9" i="16"/>
  <c r="AF35" i="16"/>
  <c r="V45" i="16"/>
  <c r="AD9" i="16"/>
  <c r="AB35" i="16" s="1"/>
  <c r="V41" i="16"/>
  <c r="Z9" i="16"/>
  <c r="X35" i="16"/>
  <c r="V37" i="16"/>
  <c r="V54" i="16"/>
  <c r="AQ9" i="16"/>
  <c r="AO35" i="16"/>
  <c r="AS28" i="16"/>
  <c r="B41" i="15"/>
  <c r="I41" i="15" s="1"/>
  <c r="V52" i="16"/>
  <c r="AO9" i="16"/>
  <c r="AM35" i="16"/>
  <c r="B39" i="15"/>
  <c r="I39" i="15"/>
  <c r="AS26" i="16"/>
  <c r="V50" i="16"/>
  <c r="AM9" i="16"/>
  <c r="AK35" i="16"/>
  <c r="AS24" i="16"/>
  <c r="B37" i="15"/>
  <c r="I37" i="15" s="1"/>
  <c r="AS22" i="16"/>
  <c r="AK9" i="16"/>
  <c r="AI35" i="16"/>
  <c r="V48" i="16"/>
  <c r="B35" i="15"/>
  <c r="I35" i="15" s="1"/>
  <c r="AS20" i="16"/>
  <c r="AI9" i="16"/>
  <c r="AG35" i="16"/>
  <c r="V46" i="16"/>
  <c r="B33" i="15"/>
  <c r="I33" i="15" s="1"/>
  <c r="AS18" i="16"/>
  <c r="AG9" i="16"/>
  <c r="AE35" i="16"/>
  <c r="V44" i="16"/>
  <c r="B31" i="15"/>
  <c r="I31" i="15" s="1"/>
  <c r="AS16" i="16"/>
  <c r="V42" i="16"/>
  <c r="AE9" i="16"/>
  <c r="AC35" i="16" s="1"/>
  <c r="B29" i="15"/>
  <c r="I29" i="15" s="1"/>
  <c r="AC9" i="16"/>
  <c r="AA35" i="16" s="1"/>
  <c r="V40" i="16"/>
  <c r="AS14" i="16"/>
  <c r="B27" i="15"/>
  <c r="I27" i="15" s="1"/>
  <c r="V38" i="16"/>
  <c r="AS12" i="16"/>
  <c r="AA9" i="16"/>
  <c r="Y35" i="16" s="1"/>
  <c r="B25" i="15"/>
  <c r="I25" i="15" s="1"/>
  <c r="AS10" i="16"/>
  <c r="Y9" i="16"/>
  <c r="W35" i="16"/>
  <c r="V36" i="16"/>
  <c r="B23" i="15"/>
  <c r="I23" i="15" s="1"/>
  <c r="C12" i="14"/>
  <c r="E12" i="14" s="1"/>
  <c r="G12" i="14" s="1"/>
  <c r="A13" i="14"/>
  <c r="B13" i="14"/>
  <c r="D13" i="14" s="1"/>
  <c r="F13" i="14"/>
  <c r="C13" i="14"/>
  <c r="E13" i="14" s="1"/>
  <c r="A14" i="14"/>
  <c r="B14" i="14"/>
  <c r="A15" i="14"/>
  <c r="B15" i="14"/>
  <c r="D15" i="14" s="1"/>
  <c r="F15" i="14" s="1"/>
  <c r="G15" i="14" s="1"/>
  <c r="C15" i="14"/>
  <c r="E15" i="14" s="1"/>
  <c r="A16" i="14"/>
  <c r="B16" i="14"/>
  <c r="C16" i="14" s="1"/>
  <c r="E16" i="14" s="1"/>
  <c r="A17" i="14"/>
  <c r="B17" i="14"/>
  <c r="C17" i="14" s="1"/>
  <c r="E17" i="14" s="1"/>
  <c r="K21" i="5"/>
  <c r="M21" i="5"/>
  <c r="J21" i="5"/>
  <c r="I21" i="5"/>
  <c r="L21" i="5"/>
  <c r="L40" i="5"/>
  <c r="C21" i="5"/>
  <c r="E11" i="14"/>
  <c r="A18" i="14"/>
  <c r="B22" i="5"/>
  <c r="D42" i="12"/>
  <c r="K37" i="12" s="1"/>
  <c r="J40" i="9"/>
  <c r="L38" i="9"/>
  <c r="J36" i="9"/>
  <c r="L34" i="9"/>
  <c r="J32" i="9"/>
  <c r="L30" i="9"/>
  <c r="O29" i="3"/>
  <c r="I29" i="3"/>
  <c r="E29" i="3"/>
  <c r="M56" i="3"/>
  <c r="M58" i="3" s="1"/>
  <c r="U27" i="16"/>
  <c r="U28" i="16"/>
  <c r="H34" i="10"/>
  <c r="J33" i="10"/>
  <c r="L32" i="10"/>
  <c r="C10" i="14"/>
  <c r="E10" i="14" s="1"/>
  <c r="D11" i="14"/>
  <c r="F11" i="14" s="1"/>
  <c r="D28" i="3"/>
  <c r="M19" i="3"/>
  <c r="G19" i="3"/>
  <c r="G24" i="3" s="1"/>
  <c r="O58" i="3"/>
  <c r="O62" i="3"/>
  <c r="M62" i="3"/>
  <c r="K58" i="3"/>
  <c r="K62" i="3"/>
  <c r="I58" i="3"/>
  <c r="I62" i="3"/>
  <c r="G58" i="3"/>
  <c r="G62" i="3"/>
  <c r="E58" i="3"/>
  <c r="E62" i="3"/>
  <c r="C58" i="3"/>
  <c r="B57" i="3"/>
  <c r="B61" i="3" s="1"/>
  <c r="B64" i="3" s="1"/>
  <c r="N57" i="3"/>
  <c r="N61" i="3" s="1"/>
  <c r="L57" i="3"/>
  <c r="L61" i="3" s="1"/>
  <c r="J57" i="3"/>
  <c r="J61" i="3" s="1"/>
  <c r="H57" i="3"/>
  <c r="F57" i="3"/>
  <c r="D57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K11" i="4"/>
  <c r="L31" i="4"/>
  <c r="C22" i="5"/>
  <c r="D22" i="5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F41" i="12"/>
  <c r="E44" i="12" a="1"/>
  <c r="E44" i="12" s="1"/>
  <c r="G26" i="12" a="1"/>
  <c r="G26" i="12" s="1"/>
  <c r="G28" i="12"/>
  <c r="G30" i="12" a="1"/>
  <c r="G30" i="12"/>
  <c r="G32" i="12"/>
  <c r="G34" i="12" a="1"/>
  <c r="G34" i="12" s="1"/>
  <c r="G36" i="12"/>
  <c r="G38" i="12" a="1"/>
  <c r="G38" i="12"/>
  <c r="N58" i="3"/>
  <c r="N62" i="3"/>
  <c r="L58" i="3"/>
  <c r="L62" i="3"/>
  <c r="J58" i="3"/>
  <c r="J62" i="3"/>
  <c r="H58" i="3"/>
  <c r="H62" i="3"/>
  <c r="F58" i="3"/>
  <c r="F62" i="3"/>
  <c r="B62" i="3"/>
  <c r="C57" i="3"/>
  <c r="C61" i="3" s="1"/>
  <c r="M57" i="3"/>
  <c r="K57" i="3"/>
  <c r="K61" i="3" s="1"/>
  <c r="K64" i="3" s="1"/>
  <c r="I57" i="3"/>
  <c r="I61" i="3" s="1"/>
  <c r="G57" i="3"/>
  <c r="G61" i="3" s="1"/>
  <c r="G64" i="3" s="1"/>
  <c r="D61" i="3"/>
  <c r="H11" i="4"/>
  <c r="B46" i="3"/>
  <c r="K29" i="12"/>
  <c r="K36" i="12"/>
  <c r="K25" i="12"/>
  <c r="K28" i="12"/>
  <c r="E47" i="9"/>
  <c r="I64" i="3"/>
  <c r="E64" i="3"/>
  <c r="C62" i="3"/>
  <c r="C64" i="3"/>
  <c r="K24" i="3"/>
  <c r="K28" i="3"/>
  <c r="N41" i="3"/>
  <c r="N45" i="3"/>
  <c r="O42" i="3"/>
  <c r="O46" i="3"/>
  <c r="I42" i="3"/>
  <c r="I46" i="3"/>
  <c r="F7" i="4"/>
  <c r="N31" i="4"/>
  <c r="P31" i="4" s="1"/>
  <c r="D45" i="12" a="1"/>
  <c r="D45" i="12" s="1"/>
  <c r="D41" i="12"/>
  <c r="K24" i="12"/>
  <c r="E42" i="12"/>
  <c r="G31" i="12"/>
  <c r="G35" i="12"/>
  <c r="G39" i="12"/>
  <c r="K40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 s="1"/>
  <c r="H61" i="3"/>
  <c r="F61" i="3"/>
  <c r="O24" i="3"/>
  <c r="O28" i="3" s="1"/>
  <c r="O31" i="3" s="1"/>
  <c r="I24" i="3"/>
  <c r="I28" i="3"/>
  <c r="I31" i="3" s="1"/>
  <c r="E24" i="3"/>
  <c r="E28" i="3"/>
  <c r="D41" i="3"/>
  <c r="D45" i="3"/>
  <c r="D48" i="3" s="1"/>
  <c r="D42" i="3"/>
  <c r="D46" i="3"/>
  <c r="K42" i="3"/>
  <c r="K46" i="3" s="1"/>
  <c r="K48" i="3" s="1"/>
  <c r="G42" i="3"/>
  <c r="G46" i="3" s="1"/>
  <c r="AS27" i="16"/>
  <c r="B40" i="15"/>
  <c r="I40" i="15" s="1"/>
  <c r="AS23" i="16"/>
  <c r="AL9" i="16"/>
  <c r="AJ35" i="16"/>
  <c r="B36" i="15"/>
  <c r="I36" i="15"/>
  <c r="AS19" i="16"/>
  <c r="B32" i="15"/>
  <c r="I32" i="15" s="1"/>
  <c r="AS15" i="16"/>
  <c r="B28" i="15"/>
  <c r="I28" i="15"/>
  <c r="AS11" i="16"/>
  <c r="B24" i="15"/>
  <c r="I24" i="15" s="1"/>
  <c r="M11" i="4"/>
  <c r="O11" i="4" s="1"/>
  <c r="I11" i="4"/>
  <c r="I31" i="4"/>
  <c r="C44" i="12" a="1"/>
  <c r="D31" i="3"/>
  <c r="J11" i="4"/>
  <c r="K35" i="12"/>
  <c r="K23" i="12"/>
  <c r="D44" i="12" a="1"/>
  <c r="D44" i="12"/>
  <c r="N64" i="3"/>
  <c r="J64" i="3"/>
  <c r="F64" i="3"/>
  <c r="K31" i="3"/>
  <c r="E31" i="3"/>
  <c r="B24" i="3"/>
  <c r="B28" i="3"/>
  <c r="B31" i="3" s="1"/>
  <c r="M24" i="3"/>
  <c r="B25" i="3"/>
  <c r="B29" i="3" s="1"/>
  <c r="B41" i="3"/>
  <c r="B45" i="3" s="1"/>
  <c r="B48" i="3" s="1"/>
  <c r="L41" i="3"/>
  <c r="L45" i="3" s="1"/>
  <c r="L48" i="3" s="1"/>
  <c r="J41" i="3"/>
  <c r="J45" i="3" s="1"/>
  <c r="J48" i="3" s="1"/>
  <c r="H41" i="3"/>
  <c r="H45" i="3"/>
  <c r="H48" i="3" s="1"/>
  <c r="F41" i="3"/>
  <c r="F45" i="3" s="1"/>
  <c r="F48" i="3" s="1"/>
  <c r="M42" i="3"/>
  <c r="M46" i="3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/>
  <c r="C24" i="3"/>
  <c r="C28" i="3"/>
  <c r="N24" i="3"/>
  <c r="N28" i="3" s="1"/>
  <c r="N31" i="3" s="1"/>
  <c r="L24" i="3"/>
  <c r="L28" i="3"/>
  <c r="J24" i="3"/>
  <c r="J28" i="3" s="1"/>
  <c r="J31" i="3" s="1"/>
  <c r="H24" i="3"/>
  <c r="H28" i="3"/>
  <c r="H31" i="3" s="1"/>
  <c r="F24" i="3"/>
  <c r="F28" i="3" s="1"/>
  <c r="F31" i="3" s="1"/>
  <c r="C41" i="3"/>
  <c r="C45" i="3"/>
  <c r="E41" i="3"/>
  <c r="E45" i="3" s="1"/>
  <c r="E48" i="3" s="1"/>
  <c r="I48" i="3"/>
  <c r="O48" i="3"/>
  <c r="M41" i="3"/>
  <c r="M45" i="3" s="1"/>
  <c r="M25" i="3"/>
  <c r="M29" i="3" s="1"/>
  <c r="AP8" i="16"/>
  <c r="Y27" i="16"/>
  <c r="W53" i="16"/>
  <c r="AE27" i="16"/>
  <c r="AC53" i="16"/>
  <c r="AG27" i="16"/>
  <c r="AE53" i="16"/>
  <c r="G11" i="14"/>
  <c r="G41" i="3"/>
  <c r="G45" i="3"/>
  <c r="G48" i="3" s="1"/>
  <c r="G25" i="3"/>
  <c r="AE28" i="16"/>
  <c r="AC54" i="16" s="1"/>
  <c r="AQ8" i="16"/>
  <c r="AQ27" i="16" s="1"/>
  <c r="AO53" i="16" s="1"/>
  <c r="AG28" i="16"/>
  <c r="AE54" i="16" s="1"/>
  <c r="Y28" i="16"/>
  <c r="W54" i="16" s="1"/>
  <c r="B18" i="14"/>
  <c r="C18" i="14" s="1"/>
  <c r="E18" i="14" s="1"/>
  <c r="D18" i="14"/>
  <c r="F18" i="14" s="1"/>
  <c r="G18" i="14" s="1"/>
  <c r="A19" i="14"/>
  <c r="M48" i="3"/>
  <c r="J42" i="9" a="1"/>
  <c r="C40" i="5"/>
  <c r="Y24" i="16"/>
  <c r="W50" i="16"/>
  <c r="AE24" i="16"/>
  <c r="AC50" i="16"/>
  <c r="AG24" i="16"/>
  <c r="AE50" i="16" s="1"/>
  <c r="AM8" i="16"/>
  <c r="AM23" i="16" s="1"/>
  <c r="AK49" i="16" s="1"/>
  <c r="L24" i="12"/>
  <c r="L28" i="12"/>
  <c r="L32" i="12"/>
  <c r="L36" i="12"/>
  <c r="L40" i="12"/>
  <c r="L29" i="12"/>
  <c r="L37" i="12"/>
  <c r="L27" i="12"/>
  <c r="L39" i="12"/>
  <c r="L26" i="12"/>
  <c r="L30" i="12"/>
  <c r="L34" i="12"/>
  <c r="L38" i="12"/>
  <c r="L25" i="12"/>
  <c r="L33" i="12"/>
  <c r="L23" i="12"/>
  <c r="L31" i="12"/>
  <c r="L35" i="12"/>
  <c r="AL8" i="16"/>
  <c r="AQ23" i="16"/>
  <c r="AO49" i="16" s="1"/>
  <c r="Y23" i="16"/>
  <c r="W49" i="16"/>
  <c r="AE23" i="16"/>
  <c r="AC49" i="16" s="1"/>
  <c r="AG23" i="16"/>
  <c r="AE49" i="16"/>
  <c r="AL25" i="16"/>
  <c r="AJ51" i="16" s="1"/>
  <c r="AN8" i="16"/>
  <c r="AN25" i="16"/>
  <c r="AL51" i="16"/>
  <c r="Y25" i="16"/>
  <c r="W51" i="16" s="1"/>
  <c r="AE25" i="16"/>
  <c r="AC51" i="16"/>
  <c r="AG25" i="16"/>
  <c r="AE51" i="16"/>
  <c r="AQ25" i="16"/>
  <c r="AO51" i="16"/>
  <c r="AP19" i="16"/>
  <c r="AN45" i="16"/>
  <c r="AL19" i="16"/>
  <c r="AJ45" i="16"/>
  <c r="AH8" i="16"/>
  <c r="AN19" i="16"/>
  <c r="AL45" i="16" s="1"/>
  <c r="AQ19" i="16"/>
  <c r="AO45" i="16" s="1"/>
  <c r="AH19" i="16"/>
  <c r="AF45" i="16" s="1"/>
  <c r="Y19" i="16"/>
  <c r="W45" i="16" s="1"/>
  <c r="AE19" i="16"/>
  <c r="AC45" i="16" s="1"/>
  <c r="AG19" i="16"/>
  <c r="AE45" i="16" s="1"/>
  <c r="AM19" i="16"/>
  <c r="AK45" i="16" s="1"/>
  <c r="AP15" i="16"/>
  <c r="AN41" i="16" s="1"/>
  <c r="AL15" i="16"/>
  <c r="AJ41" i="16" s="1"/>
  <c r="AD8" i="16"/>
  <c r="AD11" i="16" s="1"/>
  <c r="AB37" i="16" s="1"/>
  <c r="AN15" i="16"/>
  <c r="AL41" i="16"/>
  <c r="AQ15" i="16"/>
  <c r="AO41" i="16"/>
  <c r="Y15" i="16"/>
  <c r="W41" i="16"/>
  <c r="AE15" i="16"/>
  <c r="AC41" i="16"/>
  <c r="AG15" i="16"/>
  <c r="AE41" i="16"/>
  <c r="AM15" i="16"/>
  <c r="AK41" i="16"/>
  <c r="AP11" i="16"/>
  <c r="AN37" i="16"/>
  <c r="AL11" i="16"/>
  <c r="AJ37" i="16"/>
  <c r="Z8" i="16"/>
  <c r="AN11" i="16"/>
  <c r="AL37" i="16" s="1"/>
  <c r="AB8" i="16"/>
  <c r="AB11" i="16" s="1"/>
  <c r="Z37" i="16" s="1"/>
  <c r="AQ11" i="16"/>
  <c r="AO37" i="16"/>
  <c r="AH11" i="16"/>
  <c r="AF37" i="16"/>
  <c r="Y11" i="16"/>
  <c r="W37" i="16"/>
  <c r="AE11" i="16"/>
  <c r="AC37" i="16"/>
  <c r="AG11" i="16"/>
  <c r="AE37" i="16"/>
  <c r="AM11" i="16"/>
  <c r="AK37" i="16"/>
  <c r="AP21" i="16"/>
  <c r="AN47" i="16"/>
  <c r="AL21" i="16"/>
  <c r="AJ47" i="16" s="1"/>
  <c r="AJ8" i="16"/>
  <c r="AJ15" i="16"/>
  <c r="AH41" i="16" s="1"/>
  <c r="AN21" i="16"/>
  <c r="AL47" i="16"/>
  <c r="Z21" i="16"/>
  <c r="X47" i="16" s="1"/>
  <c r="AQ21" i="16"/>
  <c r="AO47" i="16" s="1"/>
  <c r="Y21" i="16"/>
  <c r="W47" i="16" s="1"/>
  <c r="AE21" i="16"/>
  <c r="AC47" i="16" s="1"/>
  <c r="AG21" i="16"/>
  <c r="AE47" i="16" s="1"/>
  <c r="AM21" i="16"/>
  <c r="AK47" i="16" s="1"/>
  <c r="AP17" i="16"/>
  <c r="AN43" i="16" s="1"/>
  <c r="AL17" i="16"/>
  <c r="AJ43" i="16" s="1"/>
  <c r="AF8" i="16"/>
  <c r="AF13" i="16" s="1"/>
  <c r="AD39" i="16" s="1"/>
  <c r="AN17" i="16"/>
  <c r="AL43" i="16"/>
  <c r="AQ17" i="16"/>
  <c r="AO43" i="16"/>
  <c r="AH17" i="16"/>
  <c r="AF43" i="16"/>
  <c r="Y17" i="16"/>
  <c r="W43" i="16"/>
  <c r="AE17" i="16"/>
  <c r="AC43" i="16" s="1"/>
  <c r="AG17" i="16"/>
  <c r="AE43" i="16"/>
  <c r="AM17" i="16"/>
  <c r="AK43" i="16" s="1"/>
  <c r="AP13" i="16"/>
  <c r="AN39" i="16" s="1"/>
  <c r="AL13" i="16"/>
  <c r="AJ39" i="16"/>
  <c r="AB19" i="16"/>
  <c r="Z45" i="16" s="1"/>
  <c r="AD13" i="16"/>
  <c r="AB39" i="16"/>
  <c r="AN13" i="16"/>
  <c r="AL39" i="16" s="1"/>
  <c r="Z13" i="16"/>
  <c r="X39" i="16"/>
  <c r="AB13" i="16"/>
  <c r="Z39" i="16" s="1"/>
  <c r="AQ13" i="16"/>
  <c r="AO39" i="16"/>
  <c r="AJ13" i="16"/>
  <c r="AH39" i="16" s="1"/>
  <c r="Y13" i="16"/>
  <c r="W39" i="16"/>
  <c r="AE13" i="16"/>
  <c r="AC39" i="16" s="1"/>
  <c r="AG13" i="16"/>
  <c r="AE39" i="16"/>
  <c r="AM13" i="16"/>
  <c r="AK39" i="16" s="1"/>
  <c r="M28" i="3"/>
  <c r="M31" i="3"/>
  <c r="B36" i="3"/>
  <c r="B37" i="3"/>
  <c r="AB17" i="16"/>
  <c r="Z43" i="16" s="1"/>
  <c r="AD17" i="16"/>
  <c r="AB43" i="16"/>
  <c r="AD21" i="16"/>
  <c r="AB47" i="16" s="1"/>
  <c r="AQ24" i="16"/>
  <c r="AO50" i="16"/>
  <c r="AQ28" i="16"/>
  <c r="AO54" i="16"/>
  <c r="A20" i="14"/>
  <c r="B19" i="14"/>
  <c r="C19" i="14"/>
  <c r="E19" i="14"/>
  <c r="AQ18" i="16"/>
  <c r="AO44" i="16"/>
  <c r="AQ10" i="16"/>
  <c r="AO36" i="16"/>
  <c r="AQ16" i="16"/>
  <c r="AO42" i="16" s="1"/>
  <c r="AP28" i="16"/>
  <c r="AN54" i="16" s="1"/>
  <c r="AP23" i="16"/>
  <c r="AN49" i="16"/>
  <c r="AP10" i="16"/>
  <c r="AN36" i="16" s="1"/>
  <c r="AP18" i="16"/>
  <c r="AN44" i="16" s="1"/>
  <c r="AP16" i="16"/>
  <c r="AN42" i="16" s="1"/>
  <c r="AP27" i="16"/>
  <c r="AN53" i="16" s="1"/>
  <c r="AL28" i="16"/>
  <c r="AJ54" i="16"/>
  <c r="AL18" i="16"/>
  <c r="AJ44" i="16"/>
  <c r="AL16" i="16"/>
  <c r="AJ42" i="16" s="1"/>
  <c r="AL23" i="16"/>
  <c r="AJ49" i="16"/>
  <c r="AL27" i="16"/>
  <c r="AJ53" i="16"/>
  <c r="AL10" i="16"/>
  <c r="AJ36" i="16"/>
  <c r="AM18" i="16"/>
  <c r="AK44" i="16"/>
  <c r="AM10" i="16"/>
  <c r="AK36" i="16"/>
  <c r="AM28" i="16"/>
  <c r="AK54" i="16"/>
  <c r="AM27" i="16"/>
  <c r="AK53" i="16" s="1"/>
  <c r="AM16" i="16"/>
  <c r="AK42" i="16" s="1"/>
  <c r="AJ17" i="16"/>
  <c r="AH43" i="16" s="1"/>
  <c r="AJ21" i="16"/>
  <c r="AH47" i="16" s="1"/>
  <c r="L41" i="12" a="1"/>
  <c r="L41" i="12" s="1"/>
  <c r="AL24" i="16"/>
  <c r="AJ50" i="16" s="1"/>
  <c r="AM24" i="16"/>
  <c r="AK50" i="16" s="1"/>
  <c r="AF28" i="16"/>
  <c r="AD54" i="16"/>
  <c r="AF27" i="16"/>
  <c r="AD53" i="16"/>
  <c r="AF24" i="16"/>
  <c r="AD50" i="16"/>
  <c r="AF23" i="16"/>
  <c r="AD49" i="16"/>
  <c r="AF18" i="16"/>
  <c r="AD44" i="16"/>
  <c r="AF16" i="16"/>
  <c r="AD42" i="16"/>
  <c r="AF10" i="16"/>
  <c r="AD36" i="16"/>
  <c r="Z27" i="16"/>
  <c r="X53" i="16" s="1"/>
  <c r="Z23" i="16"/>
  <c r="X49" i="16"/>
  <c r="Z28" i="16"/>
  <c r="X54" i="16" s="1"/>
  <c r="Z24" i="16"/>
  <c r="X50" i="16" s="1"/>
  <c r="Z18" i="16"/>
  <c r="X44" i="16"/>
  <c r="Z16" i="16"/>
  <c r="X42" i="16" s="1"/>
  <c r="Z10" i="16"/>
  <c r="X36" i="16"/>
  <c r="AH28" i="16"/>
  <c r="AF54" i="16" s="1"/>
  <c r="AH24" i="16"/>
  <c r="AF50" i="16" s="1"/>
  <c r="AH18" i="16"/>
  <c r="AF44" i="16"/>
  <c r="AH16" i="16"/>
  <c r="AF42" i="16" s="1"/>
  <c r="AH10" i="16"/>
  <c r="AF36" i="16" s="1"/>
  <c r="AH27" i="16"/>
  <c r="AF53" i="16" s="1"/>
  <c r="AH23" i="16"/>
  <c r="AF49" i="16" s="1"/>
  <c r="AB27" i="16"/>
  <c r="Z53" i="16" s="1"/>
  <c r="AB23" i="16"/>
  <c r="Z49" i="16" s="1"/>
  <c r="AB28" i="16"/>
  <c r="Z54" i="16" s="1"/>
  <c r="AB24" i="16"/>
  <c r="Z50" i="16" s="1"/>
  <c r="AB18" i="16"/>
  <c r="Z44" i="16" s="1"/>
  <c r="AB16" i="16"/>
  <c r="Z42" i="16" s="1"/>
  <c r="AB10" i="16"/>
  <c r="Z36" i="16" s="1"/>
  <c r="AJ28" i="16"/>
  <c r="AH54" i="16" s="1"/>
  <c r="AJ24" i="16"/>
  <c r="AH50" i="16" s="1"/>
  <c r="AJ18" i="16"/>
  <c r="AH44" i="16" s="1"/>
  <c r="AJ16" i="16"/>
  <c r="AH42" i="16" s="1"/>
  <c r="AJ10" i="16"/>
  <c r="AH36" i="16" s="1"/>
  <c r="AJ27" i="16"/>
  <c r="AH53" i="16" s="1"/>
  <c r="AJ23" i="16"/>
  <c r="AH49" i="16" s="1"/>
  <c r="AD28" i="16"/>
  <c r="AB54" i="16" s="1"/>
  <c r="AD27" i="16"/>
  <c r="AB53" i="16" s="1"/>
  <c r="AD24" i="16"/>
  <c r="AB50" i="16" s="1"/>
  <c r="AD23" i="16"/>
  <c r="AB49" i="16" s="1"/>
  <c r="AD18" i="16"/>
  <c r="AB44" i="16" s="1"/>
  <c r="AD16" i="16"/>
  <c r="AB42" i="16" s="1"/>
  <c r="AD10" i="16"/>
  <c r="AB36" i="16" s="1"/>
  <c r="AN28" i="16"/>
  <c r="AL54" i="16" s="1"/>
  <c r="AN24" i="16"/>
  <c r="AL50" i="16" s="1"/>
  <c r="AN18" i="16"/>
  <c r="AL44" i="16" s="1"/>
  <c r="AN16" i="16"/>
  <c r="AL42" i="16" s="1"/>
  <c r="AN27" i="16"/>
  <c r="AL53" i="16" s="1"/>
  <c r="AN23" i="16"/>
  <c r="AL49" i="16" s="1"/>
  <c r="AN10" i="16"/>
  <c r="AL36" i="16" s="1"/>
  <c r="AF21" i="16"/>
  <c r="AD47" i="16" s="1"/>
  <c r="AF11" i="16"/>
  <c r="AD37" i="16" s="1"/>
  <c r="Z15" i="16"/>
  <c r="X41" i="16" s="1"/>
  <c r="AF19" i="16"/>
  <c r="AD45" i="16" s="1"/>
  <c r="AH25" i="16"/>
  <c r="AF51" i="16" s="1"/>
  <c r="Z25" i="16"/>
  <c r="X51" i="16" s="1"/>
  <c r="AF25" i="16"/>
  <c r="AD51" i="16" s="1"/>
  <c r="AH13" i="16"/>
  <c r="AF39" i="16" s="1"/>
  <c r="Z17" i="16"/>
  <c r="X43" i="16" s="1"/>
  <c r="AF17" i="16"/>
  <c r="AD43" i="16" s="1"/>
  <c r="AH21" i="16"/>
  <c r="AF47" i="16" s="1"/>
  <c r="AB21" i="16"/>
  <c r="Z47" i="16" s="1"/>
  <c r="AJ11" i="16"/>
  <c r="AH37" i="16" s="1"/>
  <c r="Z11" i="16"/>
  <c r="X37" i="16" s="1"/>
  <c r="AH15" i="16"/>
  <c r="AF41" i="16" s="1"/>
  <c r="AB15" i="16"/>
  <c r="Z41" i="16" s="1"/>
  <c r="AF15" i="16"/>
  <c r="AD41" i="16" s="1"/>
  <c r="AJ19" i="16"/>
  <c r="AH45" i="16" s="1"/>
  <c r="Z19" i="16"/>
  <c r="X45" i="16" s="1"/>
  <c r="AD19" i="16"/>
  <c r="AB45" i="16" s="1"/>
  <c r="AJ25" i="16"/>
  <c r="AH51" i="16" s="1"/>
  <c r="AB25" i="16"/>
  <c r="Z51" i="16" s="1"/>
  <c r="AD25" i="16"/>
  <c r="AB51" i="16" s="1"/>
  <c r="R36" i="12"/>
  <c r="D19" i="14"/>
  <c r="F19" i="14" s="1"/>
  <c r="G19" i="14" s="1"/>
  <c r="A21" i="14"/>
  <c r="B21" i="14" s="1"/>
  <c r="B20" i="14"/>
  <c r="C20" i="14"/>
  <c r="E20" i="14" s="1"/>
  <c r="R29" i="12"/>
  <c r="R26" i="12"/>
  <c r="R25" i="12"/>
  <c r="R24" i="12"/>
  <c r="R40" i="12"/>
  <c r="R39" i="12"/>
  <c r="R31" i="12"/>
  <c r="R32" i="12"/>
  <c r="R37" i="12"/>
  <c r="R33" i="12"/>
  <c r="A22" i="14"/>
  <c r="C21" i="14"/>
  <c r="E21" i="14"/>
  <c r="G21" i="14" s="1"/>
  <c r="D20" i="14"/>
  <c r="F20" i="14" s="1"/>
  <c r="G20" i="14"/>
  <c r="A23" i="14"/>
  <c r="B22" i="14"/>
  <c r="C22" i="14" s="1"/>
  <c r="E22" i="14" s="1"/>
  <c r="D21" i="14"/>
  <c r="F21" i="14" s="1"/>
  <c r="D22" i="14"/>
  <c r="F22" i="14" s="1"/>
  <c r="G22" i="14" s="1"/>
  <c r="B23" i="14"/>
  <c r="D23" i="14" s="1"/>
  <c r="A24" i="14"/>
  <c r="A25" i="14"/>
  <c r="B24" i="14"/>
  <c r="C24" i="14"/>
  <c r="E24" i="14" s="1"/>
  <c r="G24" i="14" s="1"/>
  <c r="B25" i="14"/>
  <c r="C25" i="14" s="1"/>
  <c r="E25" i="14" s="1"/>
  <c r="G25" i="14" s="1"/>
  <c r="A26" i="14"/>
  <c r="D24" i="14"/>
  <c r="F24" i="14"/>
  <c r="B26" i="14"/>
  <c r="D26" i="14" s="1"/>
  <c r="A27" i="14"/>
  <c r="D25" i="14"/>
  <c r="F25" i="14" s="1"/>
  <c r="B27" i="14"/>
  <c r="C27" i="14"/>
  <c r="E27" i="14" s="1"/>
  <c r="A28" i="14"/>
  <c r="B28" i="14"/>
  <c r="C28" i="14" s="1"/>
  <c r="E28" i="14" s="1"/>
  <c r="G28" i="14" s="1"/>
  <c r="A29" i="14"/>
  <c r="D27" i="14"/>
  <c r="F27" i="14" s="1"/>
  <c r="A30" i="14"/>
  <c r="D30" i="14" s="1"/>
  <c r="B29" i="14"/>
  <c r="C29" i="14" s="1"/>
  <c r="E29" i="14" s="1"/>
  <c r="D28" i="14"/>
  <c r="F28" i="14" s="1"/>
  <c r="D29" i="14"/>
  <c r="F29" i="14" s="1"/>
  <c r="B30" i="14"/>
  <c r="F30" i="14" s="1"/>
  <c r="C30" i="14"/>
  <c r="E30" i="14" s="1"/>
  <c r="B41" i="5" a="1"/>
  <c r="D41" i="5" s="1"/>
  <c r="F41" i="5"/>
  <c r="F42" i="5" s="1"/>
  <c r="B41" i="12" l="1"/>
  <c r="F48" i="9"/>
  <c r="C44" i="12"/>
  <c r="J39" i="9"/>
  <c r="J31" i="9"/>
  <c r="J24" i="9"/>
  <c r="J42" i="9" s="1"/>
  <c r="C48" i="9"/>
  <c r="C49" i="9" s="1"/>
  <c r="F47" i="9"/>
  <c r="D48" i="9"/>
  <c r="E48" i="9"/>
  <c r="E49" i="9" s="1"/>
  <c r="I39" i="9"/>
  <c r="I35" i="9"/>
  <c r="I31" i="9"/>
  <c r="B49" i="9"/>
  <c r="G42" i="9"/>
  <c r="N39" i="9" s="1"/>
  <c r="D47" i="9"/>
  <c r="B45" i="12"/>
  <c r="B42" i="12"/>
  <c r="I38" i="12" s="1"/>
  <c r="G29" i="14"/>
  <c r="G27" i="14"/>
  <c r="D42" i="5"/>
  <c r="C41" i="5"/>
  <c r="C26" i="14"/>
  <c r="E26" i="14" s="1"/>
  <c r="G26" i="14" s="1"/>
  <c r="B41" i="5"/>
  <c r="F26" i="14"/>
  <c r="E41" i="5"/>
  <c r="C23" i="14"/>
  <c r="E23" i="14" s="1"/>
  <c r="G23" i="14" s="1"/>
  <c r="F23" i="14"/>
  <c r="R23" i="12"/>
  <c r="R34" i="12"/>
  <c r="R28" i="12"/>
  <c r="R35" i="12"/>
  <c r="R38" i="12"/>
  <c r="R30" i="12"/>
  <c r="R27" i="12"/>
  <c r="AD15" i="16"/>
  <c r="AB41" i="16" s="1"/>
  <c r="AM25" i="16"/>
  <c r="AK51" i="16" s="1"/>
  <c r="AP24" i="16"/>
  <c r="AN50" i="16" s="1"/>
  <c r="AP25" i="16"/>
  <c r="AN51" i="16" s="1"/>
  <c r="N11" i="4"/>
  <c r="P11" i="4" s="1"/>
  <c r="G13" i="14"/>
  <c r="K42" i="9" a="1"/>
  <c r="K42" i="9" s="1"/>
  <c r="O64" i="3"/>
  <c r="H31" i="4"/>
  <c r="K31" i="4"/>
  <c r="M31" i="4" s="1"/>
  <c r="O31" i="4" s="1"/>
  <c r="G31" i="4"/>
  <c r="J31" i="4"/>
  <c r="L31" i="3"/>
  <c r="H64" i="3"/>
  <c r="L64" i="3"/>
  <c r="D14" i="14"/>
  <c r="F14" i="14" s="1"/>
  <c r="C14" i="14"/>
  <c r="E14" i="14" s="1"/>
  <c r="Q30" i="9"/>
  <c r="L42" i="9" a="1"/>
  <c r="L42" i="9" s="1"/>
  <c r="Q14" i="5"/>
  <c r="Q16" i="5" s="1"/>
  <c r="P16" i="5"/>
  <c r="F21" i="5"/>
  <c r="F40" i="5" s="1"/>
  <c r="D21" i="5"/>
  <c r="D40" i="5" s="1"/>
  <c r="E21" i="5"/>
  <c r="E40" i="5" s="1"/>
  <c r="B21" i="5"/>
  <c r="B40" i="5" s="1"/>
  <c r="A14" i="4"/>
  <c r="B13" i="4"/>
  <c r="I13" i="4" s="1"/>
  <c r="G25" i="12" a="1"/>
  <c r="G25" i="12" s="1"/>
  <c r="C45" i="12" a="1"/>
  <c r="C45" i="12" s="1"/>
  <c r="X29" i="16"/>
  <c r="C46" i="15" s="1" a="1"/>
  <c r="C46" i="15" s="1"/>
  <c r="W29" i="16"/>
  <c r="E21" i="18"/>
  <c r="G4" i="18"/>
  <c r="E12" i="18"/>
  <c r="E20" i="18"/>
  <c r="E28" i="18"/>
  <c r="E15" i="18"/>
  <c r="E23" i="18"/>
  <c r="E10" i="18"/>
  <c r="E18" i="18"/>
  <c r="E26" i="18"/>
  <c r="I28" i="12"/>
  <c r="K31" i="12"/>
  <c r="B44" i="12" a="1"/>
  <c r="B44" i="12" s="1"/>
  <c r="K38" i="12"/>
  <c r="K34" i="12"/>
  <c r="K26" i="12"/>
  <c r="F45" i="12" a="1"/>
  <c r="F45" i="12" s="1"/>
  <c r="K30" i="12"/>
  <c r="K27" i="12"/>
  <c r="D17" i="14"/>
  <c r="F17" i="14" s="1"/>
  <c r="G17" i="14" s="1"/>
  <c r="D16" i="14"/>
  <c r="F16" i="14" s="1"/>
  <c r="G16" i="14" s="1"/>
  <c r="AS17" i="16"/>
  <c r="AN9" i="16"/>
  <c r="AL35" i="16" s="1"/>
  <c r="N23" i="15"/>
  <c r="N30" i="15"/>
  <c r="N38" i="15"/>
  <c r="N24" i="15"/>
  <c r="N32" i="15"/>
  <c r="N40" i="15"/>
  <c r="F42" i="12"/>
  <c r="M26" i="12" s="1"/>
  <c r="D12" i="18"/>
  <c r="C41" i="12"/>
  <c r="G41" i="12" s="1"/>
  <c r="V29" i="16"/>
  <c r="M22" i="5"/>
  <c r="K22" i="5"/>
  <c r="J22" i="5"/>
  <c r="B12" i="4"/>
  <c r="K12" i="4" s="1"/>
  <c r="G27" i="12" a="1"/>
  <c r="G27" i="12" s="1"/>
  <c r="D17" i="18"/>
  <c r="E14" i="18"/>
  <c r="U29" i="16"/>
  <c r="K39" i="12"/>
  <c r="I23" i="12"/>
  <c r="I39" i="12"/>
  <c r="K32" i="12"/>
  <c r="K33" i="12"/>
  <c r="M61" i="3"/>
  <c r="M64" i="3" s="1"/>
  <c r="C42" i="12"/>
  <c r="B38" i="15"/>
  <c r="I38" i="15" s="1"/>
  <c r="I22" i="5"/>
  <c r="H43" i="15"/>
  <c r="O30" i="15" s="1"/>
  <c r="K26" i="15"/>
  <c r="K42" i="15"/>
  <c r="K29" i="15"/>
  <c r="K37" i="15"/>
  <c r="K30" i="15"/>
  <c r="K23" i="15"/>
  <c r="K31" i="15"/>
  <c r="K39" i="15"/>
  <c r="G29" i="12" a="1"/>
  <c r="G29" i="12" s="1"/>
  <c r="G40" i="12" a="1"/>
  <c r="G40" i="12" s="1"/>
  <c r="I40" i="12"/>
  <c r="D62" i="3"/>
  <c r="D64" i="3" s="1"/>
  <c r="P64" i="3" s="1"/>
  <c r="D20" i="18"/>
  <c r="M39" i="15"/>
  <c r="M31" i="15"/>
  <c r="M43" i="15" s="1" a="1"/>
  <c r="M43" i="15" s="1"/>
  <c r="J37" i="15"/>
  <c r="J29" i="15"/>
  <c r="J43" i="15" s="1" a="1"/>
  <c r="J43" i="15" s="1"/>
  <c r="L42" i="15"/>
  <c r="L25" i="15"/>
  <c r="L43" i="15" s="1" a="1"/>
  <c r="L43" i="15" s="1"/>
  <c r="G23" i="12" a="1"/>
  <c r="G23" i="12" s="1"/>
  <c r="G33" i="12" a="1"/>
  <c r="G33" i="12" s="1"/>
  <c r="G37" i="12" a="1"/>
  <c r="G37" i="12" s="1"/>
  <c r="M29" i="9"/>
  <c r="M37" i="9"/>
  <c r="M25" i="9"/>
  <c r="M42" i="9" s="1" a="1"/>
  <c r="M42" i="9" s="1"/>
  <c r="M33" i="9"/>
  <c r="M41" i="9"/>
  <c r="U12" i="16"/>
  <c r="U14" i="16"/>
  <c r="U20" i="16"/>
  <c r="N46" i="3"/>
  <c r="N48" i="3" s="1"/>
  <c r="D22" i="18"/>
  <c r="D14" i="18"/>
  <c r="I25" i="9"/>
  <c r="I33" i="9"/>
  <c r="I41" i="9"/>
  <c r="I29" i="9"/>
  <c r="I37" i="9"/>
  <c r="F10" i="14"/>
  <c r="W17" i="16"/>
  <c r="U22" i="16"/>
  <c r="U26" i="16"/>
  <c r="D24" i="18"/>
  <c r="D16" i="18"/>
  <c r="D8" i="18"/>
  <c r="C42" i="3"/>
  <c r="C46" i="3" s="1"/>
  <c r="C48" i="3" s="1"/>
  <c r="C25" i="3"/>
  <c r="C29" i="3" s="1"/>
  <c r="C31" i="3" s="1"/>
  <c r="D26" i="18"/>
  <c r="D18" i="18"/>
  <c r="D10" i="18"/>
  <c r="D11" i="18"/>
  <c r="D15" i="18"/>
  <c r="D19" i="18"/>
  <c r="D23" i="18"/>
  <c r="D27" i="18"/>
  <c r="N15" i="17"/>
  <c r="J15" i="17"/>
  <c r="L14" i="17"/>
  <c r="N13" i="17"/>
  <c r="J13" i="17"/>
  <c r="L12" i="17"/>
  <c r="N11" i="17"/>
  <c r="J11" i="17"/>
  <c r="G23" i="3"/>
  <c r="L15" i="17"/>
  <c r="N14" i="17"/>
  <c r="J14" i="17"/>
  <c r="L13" i="17"/>
  <c r="N12" i="17"/>
  <c r="J12" i="17"/>
  <c r="F49" i="9" l="1"/>
  <c r="D49" i="9"/>
  <c r="P25" i="9"/>
  <c r="P37" i="9"/>
  <c r="P35" i="9"/>
  <c r="P32" i="9"/>
  <c r="P34" i="9"/>
  <c r="P31" i="9"/>
  <c r="P39" i="9"/>
  <c r="P38" i="9"/>
  <c r="P40" i="9"/>
  <c r="P26" i="9"/>
  <c r="P29" i="9"/>
  <c r="P41" i="9"/>
  <c r="P24" i="9"/>
  <c r="P30" i="9"/>
  <c r="P33" i="9"/>
  <c r="P27" i="9"/>
  <c r="P28" i="9"/>
  <c r="F47" i="12"/>
  <c r="P36" i="9"/>
  <c r="I33" i="12"/>
  <c r="N28" i="9"/>
  <c r="I29" i="12"/>
  <c r="I37" i="12"/>
  <c r="I32" i="12"/>
  <c r="I31" i="12"/>
  <c r="I30" i="12"/>
  <c r="N29" i="9"/>
  <c r="I34" i="12"/>
  <c r="I27" i="12"/>
  <c r="I25" i="12"/>
  <c r="I26" i="12"/>
  <c r="I36" i="12"/>
  <c r="I24" i="12"/>
  <c r="I35" i="12"/>
  <c r="N27" i="9"/>
  <c r="N36" i="9"/>
  <c r="N32" i="9"/>
  <c r="N35" i="9"/>
  <c r="N34" i="9"/>
  <c r="N33" i="9"/>
  <c r="N24" i="9"/>
  <c r="N31" i="9"/>
  <c r="N40" i="9"/>
  <c r="N41" i="9"/>
  <c r="N25" i="9"/>
  <c r="N37" i="9"/>
  <c r="N38" i="9"/>
  <c r="N26" i="9"/>
  <c r="N30" i="9"/>
  <c r="O29" i="15"/>
  <c r="S30" i="9"/>
  <c r="S35" i="9"/>
  <c r="S34" i="9"/>
  <c r="S27" i="9"/>
  <c r="S39" i="9"/>
  <c r="S31" i="9"/>
  <c r="S40" i="9"/>
  <c r="S38" i="9"/>
  <c r="S24" i="9"/>
  <c r="S28" i="9"/>
  <c r="S32" i="9"/>
  <c r="S26" i="9"/>
  <c r="S36" i="9"/>
  <c r="P23" i="15"/>
  <c r="P32" i="15"/>
  <c r="P33" i="15"/>
  <c r="P38" i="15"/>
  <c r="P28" i="15"/>
  <c r="P34" i="15"/>
  <c r="P24" i="15"/>
  <c r="P30" i="15"/>
  <c r="P39" i="15"/>
  <c r="P31" i="15"/>
  <c r="P26" i="15"/>
  <c r="P25" i="15"/>
  <c r="P41" i="15"/>
  <c r="P35" i="15"/>
  <c r="P40" i="15"/>
  <c r="P27" i="15"/>
  <c r="P36" i="15"/>
  <c r="P48" i="3"/>
  <c r="R40" i="15"/>
  <c r="R36" i="15"/>
  <c r="R24" i="15"/>
  <c r="R26" i="15"/>
  <c r="R32" i="15"/>
  <c r="R31" i="15"/>
  <c r="R29" i="15"/>
  <c r="R33" i="15"/>
  <c r="R30" i="15"/>
  <c r="R23" i="15"/>
  <c r="R37" i="15"/>
  <c r="R38" i="15"/>
  <c r="R39" i="15"/>
  <c r="R27" i="15"/>
  <c r="R28" i="15"/>
  <c r="R35" i="15"/>
  <c r="R34" i="15"/>
  <c r="R41" i="15"/>
  <c r="S32" i="15"/>
  <c r="S40" i="15"/>
  <c r="S37" i="15"/>
  <c r="S35" i="15"/>
  <c r="S28" i="15"/>
  <c r="S30" i="15"/>
  <c r="S29" i="15"/>
  <c r="S23" i="15"/>
  <c r="S34" i="15"/>
  <c r="S38" i="15"/>
  <c r="S27" i="15"/>
  <c r="S41" i="15"/>
  <c r="S36" i="15"/>
  <c r="S26" i="15"/>
  <c r="S25" i="15"/>
  <c r="S24" i="15"/>
  <c r="S33" i="15"/>
  <c r="N34" i="12"/>
  <c r="N38" i="12"/>
  <c r="N32" i="12"/>
  <c r="N30" i="12"/>
  <c r="N35" i="12"/>
  <c r="N26" i="12"/>
  <c r="N36" i="12"/>
  <c r="N39" i="12"/>
  <c r="N24" i="12"/>
  <c r="N28" i="12"/>
  <c r="N31" i="12"/>
  <c r="J18" i="17" a="1"/>
  <c r="S41" i="9"/>
  <c r="S29" i="9"/>
  <c r="N23" i="12"/>
  <c r="P37" i="15"/>
  <c r="N40" i="12"/>
  <c r="I40" i="5"/>
  <c r="I41" i="5" a="1"/>
  <c r="I41" i="12" a="1"/>
  <c r="I41" i="12" s="1"/>
  <c r="O33" i="12" s="1"/>
  <c r="K40" i="5"/>
  <c r="T32" i="15"/>
  <c r="N43" i="15" a="1"/>
  <c r="N43" i="15" s="1"/>
  <c r="T23" i="15" s="1"/>
  <c r="D46" i="12"/>
  <c r="C46" i="12"/>
  <c r="F46" i="12"/>
  <c r="F48" i="12" s="1"/>
  <c r="E46" i="12"/>
  <c r="B46" i="12"/>
  <c r="D9" i="18"/>
  <c r="E22" i="18"/>
  <c r="D25" i="18"/>
  <c r="E13" i="18"/>
  <c r="O42" i="15"/>
  <c r="B14" i="4"/>
  <c r="I14" i="4" s="1"/>
  <c r="A15" i="4"/>
  <c r="G14" i="14"/>
  <c r="O37" i="15"/>
  <c r="AO8" i="16"/>
  <c r="AG26" i="16"/>
  <c r="AE52" i="16" s="1"/>
  <c r="Y26" i="16"/>
  <c r="W52" i="16" s="1"/>
  <c r="AO26" i="16"/>
  <c r="AM52" i="16" s="1"/>
  <c r="AE26" i="16"/>
  <c r="AC52" i="16" s="1"/>
  <c r="AP26" i="16"/>
  <c r="AN52" i="16" s="1"/>
  <c r="AL26" i="16"/>
  <c r="AJ52" i="16" s="1"/>
  <c r="Z26" i="16"/>
  <c r="X52" i="16" s="1"/>
  <c r="AH26" i="16"/>
  <c r="AF52" i="16" s="1"/>
  <c r="AN26" i="16"/>
  <c r="AL52" i="16" s="1"/>
  <c r="AQ26" i="16"/>
  <c r="AO52" i="16" s="1"/>
  <c r="AM26" i="16"/>
  <c r="AK52" i="16" s="1"/>
  <c r="AF26" i="16"/>
  <c r="AD52" i="16" s="1"/>
  <c r="AB26" i="16"/>
  <c r="Z52" i="16" s="1"/>
  <c r="AJ26" i="16"/>
  <c r="AH52" i="16" s="1"/>
  <c r="AD26" i="16"/>
  <c r="AB52" i="16" s="1"/>
  <c r="I42" i="9" a="1"/>
  <c r="I42" i="9" s="1"/>
  <c r="O33" i="9" s="1"/>
  <c r="AI8" i="16"/>
  <c r="AE20" i="16"/>
  <c r="AC46" i="16" s="1"/>
  <c r="AO20" i="16"/>
  <c r="AM46" i="16" s="1"/>
  <c r="AG20" i="16"/>
  <c r="AE46" i="16" s="1"/>
  <c r="Y20" i="16"/>
  <c r="W46" i="16" s="1"/>
  <c r="AQ20" i="16"/>
  <c r="AO46" i="16" s="1"/>
  <c r="AL20" i="16"/>
  <c r="AJ46" i="16" s="1"/>
  <c r="AM20" i="16"/>
  <c r="AK46" i="16" s="1"/>
  <c r="AB20" i="16"/>
  <c r="Z46" i="16" s="1"/>
  <c r="AJ20" i="16"/>
  <c r="AH46" i="16" s="1"/>
  <c r="AP20" i="16"/>
  <c r="AN46" i="16" s="1"/>
  <c r="AF20" i="16"/>
  <c r="AD46" i="16" s="1"/>
  <c r="Z20" i="16"/>
  <c r="X46" i="16" s="1"/>
  <c r="AH20" i="16"/>
  <c r="AF46" i="16" s="1"/>
  <c r="AD20" i="16"/>
  <c r="AB46" i="16" s="1"/>
  <c r="AN20" i="16"/>
  <c r="AL46" i="16" s="1"/>
  <c r="S33" i="9"/>
  <c r="N37" i="12"/>
  <c r="R25" i="15"/>
  <c r="S31" i="15"/>
  <c r="N42" i="9" a="1"/>
  <c r="N42" i="9" s="1"/>
  <c r="T28" i="9" s="1"/>
  <c r="K43" i="15" a="1"/>
  <c r="K43" i="15" s="1"/>
  <c r="Q23" i="15" s="1"/>
  <c r="Q33" i="12"/>
  <c r="M40" i="5"/>
  <c r="D28" i="18"/>
  <c r="T24" i="15"/>
  <c r="K41" i="12" a="1"/>
  <c r="K41" i="12" s="1"/>
  <c r="Q39" i="12" s="1"/>
  <c r="Q26" i="12"/>
  <c r="D21" i="18"/>
  <c r="E27" i="18"/>
  <c r="E11" i="18"/>
  <c r="E16" i="18"/>
  <c r="E25" i="18"/>
  <c r="E9" i="18"/>
  <c r="F46" i="15" a="1"/>
  <c r="F46" i="15" s="1"/>
  <c r="O25" i="15"/>
  <c r="B42" i="5"/>
  <c r="AK8" i="16"/>
  <c r="AK26" i="16" s="1"/>
  <c r="AI52" i="16" s="1"/>
  <c r="Y22" i="16"/>
  <c r="W48" i="16" s="1"/>
  <c r="AG22" i="16"/>
  <c r="AE48" i="16" s="1"/>
  <c r="AK22" i="16"/>
  <c r="AI48" i="16" s="1"/>
  <c r="AE22" i="16"/>
  <c r="AC48" i="16" s="1"/>
  <c r="AI22" i="16"/>
  <c r="AG48" i="16" s="1"/>
  <c r="AO22" i="16"/>
  <c r="AM48" i="16" s="1"/>
  <c r="AL22" i="16"/>
  <c r="AJ48" i="16" s="1"/>
  <c r="AQ22" i="16"/>
  <c r="AO48" i="16" s="1"/>
  <c r="AP22" i="16"/>
  <c r="AN48" i="16" s="1"/>
  <c r="AF22" i="16"/>
  <c r="AD48" i="16" s="1"/>
  <c r="Z22" i="16"/>
  <c r="X48" i="16" s="1"/>
  <c r="AH22" i="16"/>
  <c r="AF48" i="16" s="1"/>
  <c r="AD22" i="16"/>
  <c r="AB48" i="16" s="1"/>
  <c r="AN22" i="16"/>
  <c r="AL48" i="16" s="1"/>
  <c r="AM22" i="16"/>
  <c r="AK48" i="16" s="1"/>
  <c r="AB22" i="16"/>
  <c r="Z48" i="16" s="1"/>
  <c r="AJ22" i="16"/>
  <c r="AH48" i="16" s="1"/>
  <c r="Y14" i="16"/>
  <c r="W40" i="16" s="1"/>
  <c r="AC14" i="16"/>
  <c r="AA40" i="16" s="1"/>
  <c r="AG14" i="16"/>
  <c r="AE40" i="16" s="1"/>
  <c r="AK14" i="16"/>
  <c r="AI40" i="16" s="1"/>
  <c r="AC8" i="16"/>
  <c r="AC26" i="16" s="1"/>
  <c r="AA52" i="16" s="1"/>
  <c r="AE14" i="16"/>
  <c r="AC40" i="16" s="1"/>
  <c r="AI14" i="16"/>
  <c r="AG40" i="16" s="1"/>
  <c r="AO14" i="16"/>
  <c r="AM40" i="16" s="1"/>
  <c r="AP14" i="16"/>
  <c r="AN40" i="16" s="1"/>
  <c r="AL14" i="16"/>
  <c r="AJ40" i="16" s="1"/>
  <c r="AF14" i="16"/>
  <c r="AD40" i="16" s="1"/>
  <c r="Z14" i="16"/>
  <c r="X40" i="16" s="1"/>
  <c r="AH14" i="16"/>
  <c r="AF40" i="16" s="1"/>
  <c r="AD14" i="16"/>
  <c r="AB40" i="16" s="1"/>
  <c r="AN14" i="16"/>
  <c r="AL40" i="16" s="1"/>
  <c r="AQ14" i="16"/>
  <c r="AO40" i="16" s="1"/>
  <c r="AM14" i="16"/>
  <c r="AK40" i="16" s="1"/>
  <c r="AB14" i="16"/>
  <c r="Z40" i="16" s="1"/>
  <c r="AJ14" i="16"/>
  <c r="AH40" i="16" s="1"/>
  <c r="S25" i="9"/>
  <c r="R42" i="15"/>
  <c r="S39" i="15"/>
  <c r="N29" i="12"/>
  <c r="Q30" i="15"/>
  <c r="Q26" i="15"/>
  <c r="Q32" i="12"/>
  <c r="N27" i="12"/>
  <c r="L12" i="4"/>
  <c r="G12" i="4"/>
  <c r="M12" i="4" s="1"/>
  <c r="O12" i="4" s="1"/>
  <c r="H12" i="4"/>
  <c r="I12" i="4"/>
  <c r="J12" i="4"/>
  <c r="V55" i="16"/>
  <c r="AR9" i="16"/>
  <c r="AP35" i="16" s="1"/>
  <c r="AS29" i="16"/>
  <c r="B42" i="15"/>
  <c r="I42" i="15" s="1"/>
  <c r="M34" i="12"/>
  <c r="M31" i="12"/>
  <c r="M28" i="12"/>
  <c r="M36" i="12"/>
  <c r="M27" i="12"/>
  <c r="M40" i="12"/>
  <c r="M30" i="12"/>
  <c r="M33" i="12"/>
  <c r="M24" i="12"/>
  <c r="M29" i="12"/>
  <c r="M25" i="12"/>
  <c r="M23" i="12"/>
  <c r="M32" i="12"/>
  <c r="M39" i="12"/>
  <c r="M35" i="12"/>
  <c r="M38" i="12"/>
  <c r="M37" i="12"/>
  <c r="T38" i="15"/>
  <c r="Q27" i="12"/>
  <c r="Q34" i="12"/>
  <c r="Q31" i="12"/>
  <c r="E47" i="12"/>
  <c r="B47" i="12"/>
  <c r="B48" i="12" s="1"/>
  <c r="C47" i="12"/>
  <c r="C48" i="12" s="1"/>
  <c r="D47" i="12"/>
  <c r="D48" i="12" s="1"/>
  <c r="O31" i="15"/>
  <c r="H13" i="4"/>
  <c r="J13" i="4"/>
  <c r="G13" i="4"/>
  <c r="L13" i="4"/>
  <c r="O32" i="15"/>
  <c r="Q27" i="9"/>
  <c r="Q31" i="9"/>
  <c r="Q40" i="9"/>
  <c r="Q28" i="9"/>
  <c r="Q33" i="9"/>
  <c r="Q38" i="9"/>
  <c r="Q37" i="9"/>
  <c r="Q25" i="9"/>
  <c r="Q35" i="9"/>
  <c r="Q24" i="9"/>
  <c r="Q29" i="9"/>
  <c r="Q36" i="9"/>
  <c r="Q39" i="9"/>
  <c r="Q26" i="9"/>
  <c r="Q41" i="9"/>
  <c r="Q32" i="9"/>
  <c r="E42" i="5"/>
  <c r="G28" i="3"/>
  <c r="G29" i="3"/>
  <c r="D47" i="15" a="1"/>
  <c r="D47" i="15" s="1"/>
  <c r="E47" i="15" a="1"/>
  <c r="E47" i="15" s="1"/>
  <c r="G47" i="15" a="1"/>
  <c r="G47" i="15" s="1"/>
  <c r="F47" i="15" a="1"/>
  <c r="F47" i="15" s="1"/>
  <c r="C47" i="15" a="1"/>
  <c r="C47" i="15" s="1"/>
  <c r="C49" i="15" s="1"/>
  <c r="O41" i="9"/>
  <c r="AA8" i="16"/>
  <c r="AA22" i="16" s="1"/>
  <c r="Y48" i="16" s="1"/>
  <c r="AA12" i="16"/>
  <c r="Y38" i="16" s="1"/>
  <c r="AE12" i="16"/>
  <c r="AC38" i="16" s="1"/>
  <c r="AI12" i="16"/>
  <c r="AG38" i="16" s="1"/>
  <c r="AO12" i="16"/>
  <c r="AM38" i="16" s="1"/>
  <c r="AK12" i="16"/>
  <c r="AI38" i="16" s="1"/>
  <c r="AC12" i="16"/>
  <c r="AA38" i="16" s="1"/>
  <c r="AG12" i="16"/>
  <c r="AE38" i="16" s="1"/>
  <c r="Y12" i="16"/>
  <c r="W38" i="16" s="1"/>
  <c r="AQ12" i="16"/>
  <c r="AO38" i="16" s="1"/>
  <c r="AP12" i="16"/>
  <c r="AN38" i="16" s="1"/>
  <c r="AM12" i="16"/>
  <c r="AK38" i="16" s="1"/>
  <c r="AB12" i="16"/>
  <c r="Z38" i="16" s="1"/>
  <c r="AJ12" i="16"/>
  <c r="AH38" i="16" s="1"/>
  <c r="AL12" i="16"/>
  <c r="AJ38" i="16" s="1"/>
  <c r="AF12" i="16"/>
  <c r="AD38" i="16" s="1"/>
  <c r="Z12" i="16"/>
  <c r="X38" i="16" s="1"/>
  <c r="AH12" i="16"/>
  <c r="AF38" i="16" s="1"/>
  <c r="AD12" i="16"/>
  <c r="AB38" i="16" s="1"/>
  <c r="AN12" i="16"/>
  <c r="AL38" i="16" s="1"/>
  <c r="S37" i="9"/>
  <c r="N33" i="12"/>
  <c r="P29" i="15"/>
  <c r="Q39" i="15"/>
  <c r="Q37" i="15"/>
  <c r="O24" i="15"/>
  <c r="O38" i="15"/>
  <c r="O26" i="15"/>
  <c r="O28" i="15"/>
  <c r="O33" i="15"/>
  <c r="O36" i="15"/>
  <c r="O27" i="15"/>
  <c r="O39" i="15"/>
  <c r="O41" i="15"/>
  <c r="J30" i="12"/>
  <c r="J31" i="12"/>
  <c r="J24" i="12"/>
  <c r="J40" i="12"/>
  <c r="J37" i="12"/>
  <c r="J38" i="12"/>
  <c r="J33" i="12"/>
  <c r="J32" i="12"/>
  <c r="J35" i="12"/>
  <c r="J34" i="12"/>
  <c r="J28" i="12"/>
  <c r="J26" i="12"/>
  <c r="J29" i="12"/>
  <c r="J25" i="12"/>
  <c r="J23" i="12"/>
  <c r="J39" i="12"/>
  <c r="J36" i="12"/>
  <c r="J27" i="12"/>
  <c r="AL29" i="16"/>
  <c r="AJ55" i="16" s="1"/>
  <c r="AP29" i="16"/>
  <c r="AN55" i="16" s="1"/>
  <c r="AJ29" i="16"/>
  <c r="AH55" i="16" s="1"/>
  <c r="AA29" i="16"/>
  <c r="Y55" i="16" s="1"/>
  <c r="AE29" i="16"/>
  <c r="AC55" i="16" s="1"/>
  <c r="AI29" i="16"/>
  <c r="AG55" i="16" s="1"/>
  <c r="AM29" i="16"/>
  <c r="AK55" i="16" s="1"/>
  <c r="AQ29" i="16"/>
  <c r="AO55" i="16" s="1"/>
  <c r="AR8" i="16"/>
  <c r="AD29" i="16"/>
  <c r="AB55" i="16" s="1"/>
  <c r="AN29" i="16"/>
  <c r="AL55" i="16" s="1"/>
  <c r="AB29" i="16"/>
  <c r="Z55" i="16" s="1"/>
  <c r="Y29" i="16"/>
  <c r="W55" i="16" s="1"/>
  <c r="AC29" i="16"/>
  <c r="AA55" i="16" s="1"/>
  <c r="AG29" i="16"/>
  <c r="AE55" i="16" s="1"/>
  <c r="AK29" i="16"/>
  <c r="AI55" i="16" s="1"/>
  <c r="AO29" i="16"/>
  <c r="AM55" i="16" s="1"/>
  <c r="AH29" i="16"/>
  <c r="AF55" i="16" s="1"/>
  <c r="Z29" i="16"/>
  <c r="X55" i="16" s="1"/>
  <c r="AF29" i="16"/>
  <c r="AD55" i="16" s="1"/>
  <c r="AR29" i="16"/>
  <c r="AP55" i="16" s="1"/>
  <c r="O23" i="15"/>
  <c r="J40" i="5"/>
  <c r="T40" i="15"/>
  <c r="T30" i="15"/>
  <c r="Q30" i="12"/>
  <c r="Q38" i="12"/>
  <c r="D13" i="18"/>
  <c r="E19" i="18"/>
  <c r="E24" i="18"/>
  <c r="E8" i="18"/>
  <c r="E17" i="18"/>
  <c r="G46" i="15" a="1"/>
  <c r="G46" i="15" s="1"/>
  <c r="G48" i="15" s="1"/>
  <c r="E46" i="15" a="1"/>
  <c r="E46" i="15" s="1"/>
  <c r="E48" i="15" s="1"/>
  <c r="S42" i="15"/>
  <c r="D46" i="15" a="1"/>
  <c r="D46" i="15" s="1"/>
  <c r="C48" i="15" s="1"/>
  <c r="T42" i="15"/>
  <c r="P42" i="15"/>
  <c r="N25" i="12"/>
  <c r="O35" i="15"/>
  <c r="K13" i="4"/>
  <c r="M13" i="4" s="1"/>
  <c r="O13" i="4" s="1"/>
  <c r="R24" i="9"/>
  <c r="R37" i="9"/>
  <c r="R33" i="9"/>
  <c r="R35" i="9"/>
  <c r="R31" i="9"/>
  <c r="R40" i="9"/>
  <c r="R39" i="9"/>
  <c r="R28" i="9"/>
  <c r="R41" i="9"/>
  <c r="R32" i="9"/>
  <c r="R36" i="9"/>
  <c r="R30" i="9"/>
  <c r="R29" i="9"/>
  <c r="R38" i="9"/>
  <c r="R26" i="9"/>
  <c r="R25" i="9"/>
  <c r="R27" i="9"/>
  <c r="O40" i="15"/>
  <c r="R34" i="9"/>
  <c r="Q34" i="9"/>
  <c r="O34" i="15"/>
  <c r="C42" i="5"/>
  <c r="O37" i="12" l="1"/>
  <c r="O40" i="12"/>
  <c r="O34" i="12"/>
  <c r="O28" i="12"/>
  <c r="O39" i="12"/>
  <c r="E48" i="12"/>
  <c r="O38" i="12"/>
  <c r="O31" i="12"/>
  <c r="O30" i="12"/>
  <c r="O29" i="12"/>
  <c r="O25" i="9"/>
  <c r="T39" i="9"/>
  <c r="O29" i="9"/>
  <c r="O32" i="12"/>
  <c r="O23" i="12"/>
  <c r="AR27" i="16"/>
  <c r="AP53" i="16" s="1"/>
  <c r="AR24" i="16"/>
  <c r="AP50" i="16" s="1"/>
  <c r="AR18" i="16"/>
  <c r="AP44" i="16" s="1"/>
  <c r="AR10" i="16"/>
  <c r="AP36" i="16" s="1"/>
  <c r="AR28" i="16"/>
  <c r="AP54" i="16" s="1"/>
  <c r="AR23" i="16"/>
  <c r="AP49" i="16" s="1"/>
  <c r="AR16" i="16"/>
  <c r="AP42" i="16" s="1"/>
  <c r="AR21" i="16"/>
  <c r="AP47" i="16" s="1"/>
  <c r="AR19" i="16"/>
  <c r="AP45" i="16" s="1"/>
  <c r="AR25" i="16"/>
  <c r="AP51" i="16" s="1"/>
  <c r="AR13" i="16"/>
  <c r="AP39" i="16" s="1"/>
  <c r="AR11" i="16"/>
  <c r="AP37" i="16" s="1"/>
  <c r="AR17" i="16"/>
  <c r="AP43" i="16" s="1"/>
  <c r="AR15" i="16"/>
  <c r="AP41" i="16" s="1"/>
  <c r="AR12" i="16"/>
  <c r="AP38" i="16" s="1"/>
  <c r="E49" i="15"/>
  <c r="E50" i="15" s="1"/>
  <c r="AR14" i="16"/>
  <c r="AP40" i="16" s="1"/>
  <c r="AA14" i="16"/>
  <c r="Y40" i="16" s="1"/>
  <c r="T24" i="9"/>
  <c r="T32" i="9"/>
  <c r="T26" i="9"/>
  <c r="T41" i="9"/>
  <c r="T34" i="9"/>
  <c r="T27" i="9"/>
  <c r="T30" i="9"/>
  <c r="T35" i="9"/>
  <c r="T33" i="9"/>
  <c r="T40" i="9"/>
  <c r="T37" i="9"/>
  <c r="T36" i="9"/>
  <c r="T25" i="9"/>
  <c r="T29" i="9"/>
  <c r="T38" i="9"/>
  <c r="T31" i="9"/>
  <c r="AA20" i="16"/>
  <c r="Y46" i="16" s="1"/>
  <c r="O37" i="9"/>
  <c r="AA26" i="16"/>
  <c r="Y52" i="16" s="1"/>
  <c r="O27" i="12"/>
  <c r="O35" i="12"/>
  <c r="O24" i="12"/>
  <c r="O26" i="12"/>
  <c r="O25" i="12"/>
  <c r="O36" i="12"/>
  <c r="J41" i="12" a="1"/>
  <c r="J41" i="12" s="1"/>
  <c r="P32" i="12" s="1"/>
  <c r="C50" i="15"/>
  <c r="D49" i="15"/>
  <c r="N13" i="4"/>
  <c r="P13" i="4" s="1"/>
  <c r="AR22" i="16"/>
  <c r="AP48" i="16" s="1"/>
  <c r="AK18" i="16"/>
  <c r="AI44" i="16" s="1"/>
  <c r="AK10" i="16"/>
  <c r="AI36" i="16" s="1"/>
  <c r="AK27" i="16"/>
  <c r="AI53" i="16" s="1"/>
  <c r="AK16" i="16"/>
  <c r="AI42" i="16" s="1"/>
  <c r="AK28" i="16"/>
  <c r="AI54" i="16" s="1"/>
  <c r="AK25" i="16"/>
  <c r="AI51" i="16" s="1"/>
  <c r="AK17" i="16"/>
  <c r="AI43" i="16" s="1"/>
  <c r="AK13" i="16"/>
  <c r="AI39" i="16" s="1"/>
  <c r="AK21" i="16"/>
  <c r="AI47" i="16" s="1"/>
  <c r="AK24" i="16"/>
  <c r="AI50" i="16" s="1"/>
  <c r="AK15" i="16"/>
  <c r="AI41" i="16" s="1"/>
  <c r="AK11" i="16"/>
  <c r="AI37" i="16" s="1"/>
  <c r="AK23" i="16"/>
  <c r="AI49" i="16" s="1"/>
  <c r="AK19" i="16"/>
  <c r="AI45" i="16" s="1"/>
  <c r="Q35" i="15"/>
  <c r="Q34" i="15"/>
  <c r="Q36" i="15"/>
  <c r="Q28" i="15"/>
  <c r="Q27" i="15"/>
  <c r="Q38" i="15"/>
  <c r="Q32" i="15"/>
  <c r="Q24" i="15"/>
  <c r="Q25" i="15"/>
  <c r="Q40" i="15"/>
  <c r="Q41" i="15"/>
  <c r="Q33" i="15"/>
  <c r="AC20" i="16"/>
  <c r="AA46" i="16" s="1"/>
  <c r="AI16" i="16"/>
  <c r="AG42" i="16" s="1"/>
  <c r="AI27" i="16"/>
  <c r="AG53" i="16" s="1"/>
  <c r="AI10" i="16"/>
  <c r="AG36" i="16" s="1"/>
  <c r="AI18" i="16"/>
  <c r="AG44" i="16" s="1"/>
  <c r="AI24" i="16"/>
  <c r="AG50" i="16" s="1"/>
  <c r="AI15" i="16"/>
  <c r="AG41" i="16" s="1"/>
  <c r="AI11" i="16"/>
  <c r="AG37" i="16" s="1"/>
  <c r="AI19" i="16"/>
  <c r="AG45" i="16" s="1"/>
  <c r="AI23" i="16"/>
  <c r="AG49" i="16" s="1"/>
  <c r="AI25" i="16"/>
  <c r="AG51" i="16" s="1"/>
  <c r="AI17" i="16"/>
  <c r="AG43" i="16" s="1"/>
  <c r="AI13" i="16"/>
  <c r="AG39" i="16" s="1"/>
  <c r="AI21" i="16"/>
  <c r="AG47" i="16" s="1"/>
  <c r="AI28" i="16"/>
  <c r="AG54" i="16" s="1"/>
  <c r="AR26" i="16"/>
  <c r="AP52" i="16" s="1"/>
  <c r="AO16" i="16"/>
  <c r="AM42" i="16" s="1"/>
  <c r="AO27" i="16"/>
  <c r="AM53" i="16" s="1"/>
  <c r="AO18" i="16"/>
  <c r="AM44" i="16" s="1"/>
  <c r="AO10" i="16"/>
  <c r="AM36" i="16" s="1"/>
  <c r="AO28" i="16"/>
  <c r="AM54" i="16" s="1"/>
  <c r="AO24" i="16"/>
  <c r="AM50" i="16" s="1"/>
  <c r="AO25" i="16"/>
  <c r="AM51" i="16" s="1"/>
  <c r="AO17" i="16"/>
  <c r="AM43" i="16" s="1"/>
  <c r="AO13" i="16"/>
  <c r="AM39" i="16" s="1"/>
  <c r="AO23" i="16"/>
  <c r="AM49" i="16" s="1"/>
  <c r="AO21" i="16"/>
  <c r="AM47" i="16" s="1"/>
  <c r="AO15" i="16"/>
  <c r="AM41" i="16" s="1"/>
  <c r="AO11" i="16"/>
  <c r="AM37" i="16" s="1"/>
  <c r="AO19" i="16"/>
  <c r="AM45" i="16" s="1"/>
  <c r="B15" i="4"/>
  <c r="I15" i="4" s="1"/>
  <c r="A16" i="4"/>
  <c r="L14" i="4"/>
  <c r="J14" i="4"/>
  <c r="H14" i="4"/>
  <c r="Q29" i="15"/>
  <c r="N41" i="12" a="1"/>
  <c r="N41" i="12" s="1"/>
  <c r="T35" i="12" s="1"/>
  <c r="K18" i="17"/>
  <c r="M18" i="17"/>
  <c r="J19" i="17"/>
  <c r="M21" i="17"/>
  <c r="J22" i="17"/>
  <c r="N22" i="17"/>
  <c r="K19" i="17"/>
  <c r="M19" i="17"/>
  <c r="J20" i="17"/>
  <c r="M20" i="17"/>
  <c r="J21" i="17"/>
  <c r="K22" i="17"/>
  <c r="J18" i="17"/>
  <c r="L18" i="17"/>
  <c r="N18" i="17"/>
  <c r="K20" i="17"/>
  <c r="K21" i="17"/>
  <c r="N21" i="17"/>
  <c r="L22" i="17"/>
  <c r="N19" i="17"/>
  <c r="N20" i="17"/>
  <c r="M22" i="17"/>
  <c r="L19" i="17"/>
  <c r="L20" i="17"/>
  <c r="L21" i="17"/>
  <c r="F49" i="15"/>
  <c r="B43" i="5" a="1"/>
  <c r="F48" i="15"/>
  <c r="Q23" i="12"/>
  <c r="Q35" i="12"/>
  <c r="Q40" i="12"/>
  <c r="Q24" i="12"/>
  <c r="Q36" i="12"/>
  <c r="Q25" i="12"/>
  <c r="Q28" i="12"/>
  <c r="Q37" i="12"/>
  <c r="Q29" i="12"/>
  <c r="AR20" i="16"/>
  <c r="AP46" i="16" s="1"/>
  <c r="AI20" i="16"/>
  <c r="AG46" i="16" s="1"/>
  <c r="O34" i="9"/>
  <c r="O30" i="9"/>
  <c r="O39" i="9"/>
  <c r="O26" i="9"/>
  <c r="O31" i="9"/>
  <c r="O35" i="9"/>
  <c r="O32" i="9"/>
  <c r="O27" i="9"/>
  <c r="O38" i="9"/>
  <c r="O36" i="9"/>
  <c r="O28" i="9"/>
  <c r="O40" i="9"/>
  <c r="O24" i="9"/>
  <c r="AI26" i="16"/>
  <c r="AG52" i="16" s="1"/>
  <c r="G14" i="4"/>
  <c r="Q31" i="15"/>
  <c r="D48" i="15"/>
  <c r="O43" i="15" a="1"/>
  <c r="O43" i="15" s="1"/>
  <c r="U33" i="15" s="1"/>
  <c r="AA16" i="16"/>
  <c r="Y42" i="16" s="1"/>
  <c r="AA18" i="16"/>
  <c r="Y44" i="16" s="1"/>
  <c r="AA10" i="16"/>
  <c r="Y36" i="16" s="1"/>
  <c r="AA27" i="16"/>
  <c r="Y53" i="16" s="1"/>
  <c r="AA24" i="16"/>
  <c r="Y50" i="16" s="1"/>
  <c r="AA23" i="16"/>
  <c r="Y49" i="16" s="1"/>
  <c r="AA15" i="16"/>
  <c r="Y41" i="16" s="1"/>
  <c r="AA11" i="16"/>
  <c r="Y37" i="16" s="1"/>
  <c r="AA19" i="16"/>
  <c r="Y45" i="16" s="1"/>
  <c r="AA17" i="16"/>
  <c r="Y43" i="16" s="1"/>
  <c r="AA13" i="16"/>
  <c r="Y39" i="16" s="1"/>
  <c r="AA25" i="16"/>
  <c r="Y51" i="16" s="1"/>
  <c r="AA21" i="16"/>
  <c r="Y47" i="16" s="1"/>
  <c r="AA28" i="16"/>
  <c r="Y54" i="16" s="1"/>
  <c r="G49" i="15"/>
  <c r="G50" i="15" s="1"/>
  <c r="G31" i="3"/>
  <c r="P31" i="3" s="1"/>
  <c r="S38" i="12"/>
  <c r="M41" i="12" a="1"/>
  <c r="M41" i="12" s="1"/>
  <c r="S26" i="12" s="1"/>
  <c r="S33" i="12"/>
  <c r="S36" i="12"/>
  <c r="N12" i="4"/>
  <c r="P12" i="4" s="1"/>
  <c r="AC18" i="16"/>
  <c r="AA44" i="16" s="1"/>
  <c r="AC10" i="16"/>
  <c r="AA36" i="16" s="1"/>
  <c r="AC16" i="16"/>
  <c r="AA42" i="16" s="1"/>
  <c r="AC27" i="16"/>
  <c r="AA53" i="16" s="1"/>
  <c r="AC28" i="16"/>
  <c r="AA54" i="16" s="1"/>
  <c r="AC17" i="16"/>
  <c r="AA43" i="16" s="1"/>
  <c r="AC13" i="16"/>
  <c r="AA39" i="16" s="1"/>
  <c r="AC23" i="16"/>
  <c r="AA49" i="16" s="1"/>
  <c r="AC25" i="16"/>
  <c r="AA51" i="16" s="1"/>
  <c r="AC21" i="16"/>
  <c r="AA47" i="16" s="1"/>
  <c r="AC15" i="16"/>
  <c r="AA41" i="16" s="1"/>
  <c r="AC11" i="16"/>
  <c r="AA37" i="16" s="1"/>
  <c r="AC24" i="16"/>
  <c r="AA50" i="16" s="1"/>
  <c r="AC19" i="16"/>
  <c r="AA45" i="16" s="1"/>
  <c r="AC22" i="16"/>
  <c r="AA48" i="16" s="1"/>
  <c r="Q42" i="15"/>
  <c r="AK20" i="16"/>
  <c r="AI46" i="16" s="1"/>
  <c r="K14" i="4"/>
  <c r="M14" i="4" s="1"/>
  <c r="O14" i="4" s="1"/>
  <c r="T28" i="15"/>
  <c r="T27" i="15"/>
  <c r="T41" i="15"/>
  <c r="T37" i="15"/>
  <c r="T39" i="15"/>
  <c r="T36" i="15"/>
  <c r="T33" i="15"/>
  <c r="T29" i="15"/>
  <c r="T35" i="15"/>
  <c r="T25" i="15"/>
  <c r="T26" i="15"/>
  <c r="T31" i="15"/>
  <c r="T34" i="15"/>
  <c r="L41" i="5"/>
  <c r="M41" i="5"/>
  <c r="J41" i="5"/>
  <c r="I41" i="5"/>
  <c r="K41" i="5"/>
  <c r="P29" i="12" l="1"/>
  <c r="P34" i="12"/>
  <c r="P30" i="12"/>
  <c r="P36" i="12"/>
  <c r="P25" i="12"/>
  <c r="P37" i="12"/>
  <c r="P31" i="12"/>
  <c r="P27" i="12"/>
  <c r="P35" i="12"/>
  <c r="P38" i="12"/>
  <c r="P33" i="12"/>
  <c r="T37" i="12"/>
  <c r="T30" i="12"/>
  <c r="T38" i="12"/>
  <c r="T26" i="12"/>
  <c r="T32" i="12"/>
  <c r="T39" i="12"/>
  <c r="T28" i="12"/>
  <c r="T36" i="12"/>
  <c r="T40" i="12"/>
  <c r="T31" i="12"/>
  <c r="T25" i="12"/>
  <c r="T23" i="12"/>
  <c r="U36" i="15"/>
  <c r="U38" i="15"/>
  <c r="K42" i="5"/>
  <c r="L42" i="5"/>
  <c r="U23" i="15"/>
  <c r="S32" i="12"/>
  <c r="G15" i="4"/>
  <c r="S31" i="12"/>
  <c r="U39" i="15"/>
  <c r="T24" i="12"/>
  <c r="S25" i="12"/>
  <c r="P26" i="12"/>
  <c r="I42" i="5"/>
  <c r="U29" i="15"/>
  <c r="U30" i="15"/>
  <c r="U42" i="15"/>
  <c r="U24" i="9" a="1"/>
  <c r="C43" i="5"/>
  <c r="C44" i="5" s="1"/>
  <c r="C16" i="5" s="1"/>
  <c r="F43" i="5"/>
  <c r="F44" i="5" s="1"/>
  <c r="F16" i="5" s="1"/>
  <c r="F17" i="5" s="1"/>
  <c r="D43" i="5"/>
  <c r="D44" i="5" s="1"/>
  <c r="D16" i="5" s="1"/>
  <c r="B43" i="5"/>
  <c r="B44" i="5" s="1"/>
  <c r="B16" i="5" s="1"/>
  <c r="E43" i="5"/>
  <c r="E44" i="5" s="1"/>
  <c r="E16" i="5" s="1"/>
  <c r="E17" i="5" s="1"/>
  <c r="S34" i="12"/>
  <c r="S37" i="12"/>
  <c r="J25" i="17" a="1"/>
  <c r="J24" i="17" a="1"/>
  <c r="N14" i="4"/>
  <c r="P14" i="4" s="1"/>
  <c r="U25" i="15"/>
  <c r="S40" i="12"/>
  <c r="U31" i="15"/>
  <c r="T33" i="12"/>
  <c r="P24" i="12"/>
  <c r="P23" i="12"/>
  <c r="U35" i="15"/>
  <c r="T27" i="12"/>
  <c r="S35" i="12"/>
  <c r="U41" i="15"/>
  <c r="P39" i="12"/>
  <c r="J42" i="5"/>
  <c r="S27" i="12"/>
  <c r="U26" i="15"/>
  <c r="U34" i="15"/>
  <c r="B16" i="4"/>
  <c r="A17" i="4"/>
  <c r="I16" i="4"/>
  <c r="J15" i="4"/>
  <c r="H15" i="4"/>
  <c r="L15" i="4"/>
  <c r="T29" i="12"/>
  <c r="S29" i="12"/>
  <c r="U40" i="15"/>
  <c r="T34" i="12"/>
  <c r="S28" i="12"/>
  <c r="P40" i="12"/>
  <c r="M42" i="5"/>
  <c r="S23" i="12"/>
  <c r="U32" i="15"/>
  <c r="U37" i="15"/>
  <c r="S24" i="12"/>
  <c r="F50" i="15"/>
  <c r="U27" i="15"/>
  <c r="K15" i="4"/>
  <c r="M15" i="4" s="1"/>
  <c r="O15" i="4" s="1"/>
  <c r="S39" i="12"/>
  <c r="D50" i="15"/>
  <c r="U28" i="15"/>
  <c r="P28" i="12"/>
  <c r="S30" i="12"/>
  <c r="U24" i="15"/>
  <c r="V23" i="15" l="1" a="1"/>
  <c r="Y23" i="15" s="1"/>
  <c r="W29" i="15"/>
  <c r="B17" i="4"/>
  <c r="A18" i="4"/>
  <c r="I17" i="4"/>
  <c r="D17" i="5"/>
  <c r="L16" i="4"/>
  <c r="H16" i="4"/>
  <c r="J16" i="4"/>
  <c r="N24" i="17"/>
  <c r="N28" i="17" s="1"/>
  <c r="L24" i="17"/>
  <c r="J24" i="17"/>
  <c r="M24" i="17"/>
  <c r="K24" i="17"/>
  <c r="Z39" i="9"/>
  <c r="V37" i="9"/>
  <c r="X34" i="9"/>
  <c r="Z31" i="9"/>
  <c r="V29" i="9"/>
  <c r="X26" i="9"/>
  <c r="Y41" i="9"/>
  <c r="W36" i="9"/>
  <c r="U31" i="9"/>
  <c r="Y25" i="9"/>
  <c r="U38" i="9"/>
  <c r="Y32" i="9"/>
  <c r="W27" i="9"/>
  <c r="Z40" i="9"/>
  <c r="V38" i="9"/>
  <c r="X35" i="9"/>
  <c r="Z32" i="9"/>
  <c r="V30" i="9"/>
  <c r="X27" i="9"/>
  <c r="Z24" i="9"/>
  <c r="W38" i="9"/>
  <c r="U33" i="9"/>
  <c r="Y27" i="9"/>
  <c r="U40" i="9"/>
  <c r="Y34" i="9"/>
  <c r="W29" i="9"/>
  <c r="U24" i="9"/>
  <c r="X40" i="9"/>
  <c r="Z37" i="9"/>
  <c r="V35" i="9"/>
  <c r="X32" i="9"/>
  <c r="Z29" i="9"/>
  <c r="V27" i="9"/>
  <c r="X24" i="9"/>
  <c r="Y37" i="9"/>
  <c r="W32" i="9"/>
  <c r="U27" i="9"/>
  <c r="W39" i="9"/>
  <c r="U34" i="9"/>
  <c r="Y28" i="9"/>
  <c r="X41" i="9"/>
  <c r="Z38" i="9"/>
  <c r="V36" i="9"/>
  <c r="X33" i="9"/>
  <c r="Z30" i="9"/>
  <c r="V28" i="9"/>
  <c r="X25" i="9"/>
  <c r="Y39" i="9"/>
  <c r="W34" i="9"/>
  <c r="U29" i="9"/>
  <c r="W41" i="9"/>
  <c r="U36" i="9"/>
  <c r="Y30" i="9"/>
  <c r="W25" i="9"/>
  <c r="Z35" i="9"/>
  <c r="V25" i="9"/>
  <c r="Y40" i="9"/>
  <c r="X39" i="9"/>
  <c r="Z28" i="9"/>
  <c r="W30" i="9"/>
  <c r="Y26" i="9"/>
  <c r="Z33" i="9"/>
  <c r="W40" i="9"/>
  <c r="Y36" i="9"/>
  <c r="X37" i="9"/>
  <c r="Z26" i="9"/>
  <c r="W26" i="9"/>
  <c r="X38" i="9"/>
  <c r="Z27" i="9"/>
  <c r="W28" i="9"/>
  <c r="Y24" i="9"/>
  <c r="X31" i="9"/>
  <c r="Y35" i="9"/>
  <c r="U32" i="9"/>
  <c r="X36" i="9"/>
  <c r="Z25" i="9"/>
  <c r="W24" i="9"/>
  <c r="V40" i="9"/>
  <c r="X29" i="9"/>
  <c r="Y31" i="9"/>
  <c r="U28" i="9"/>
  <c r="V41" i="9"/>
  <c r="X30" i="9"/>
  <c r="Y33" i="9"/>
  <c r="U30" i="9"/>
  <c r="V34" i="9"/>
  <c r="U41" i="9"/>
  <c r="W37" i="9"/>
  <c r="V39" i="9"/>
  <c r="X28" i="9"/>
  <c r="Y29" i="9"/>
  <c r="U26" i="9"/>
  <c r="V32" i="9"/>
  <c r="U37" i="9"/>
  <c r="W33" i="9"/>
  <c r="V33" i="9"/>
  <c r="U39" i="9"/>
  <c r="W35" i="9"/>
  <c r="Z36" i="9"/>
  <c r="V26" i="9"/>
  <c r="U25" i="9"/>
  <c r="Z41" i="9"/>
  <c r="V31" i="9"/>
  <c r="U35" i="9"/>
  <c r="W31" i="9"/>
  <c r="Z34" i="9"/>
  <c r="V24" i="9"/>
  <c r="Y38" i="9"/>
  <c r="N15" i="4"/>
  <c r="P15" i="4" s="1"/>
  <c r="G16" i="4"/>
  <c r="J25" i="17"/>
  <c r="J26" i="17" s="1"/>
  <c r="N25" i="17"/>
  <c r="N26" i="17" s="1"/>
  <c r="N27" i="17" s="1"/>
  <c r="K25" i="17"/>
  <c r="K26" i="17" s="1"/>
  <c r="K27" i="17" s="1"/>
  <c r="L25" i="17"/>
  <c r="L26" i="17" s="1"/>
  <c r="L27" i="17" s="1"/>
  <c r="M25" i="17"/>
  <c r="M26" i="17" s="1"/>
  <c r="M27" i="17" s="1"/>
  <c r="C17" i="5"/>
  <c r="I43" i="5" a="1"/>
  <c r="K16" i="4"/>
  <c r="M16" i="4" s="1"/>
  <c r="O16" i="4" s="1"/>
  <c r="U23" i="12" a="1"/>
  <c r="B17" i="5"/>
  <c r="Z30" i="15" l="1"/>
  <c r="W40" i="15"/>
  <c r="V32" i="15"/>
  <c r="X24" i="15"/>
  <c r="Y36" i="15"/>
  <c r="AA36" i="15"/>
  <c r="AA29" i="15"/>
  <c r="AG29" i="15" s="1"/>
  <c r="W37" i="15"/>
  <c r="W32" i="15"/>
  <c r="AA38" i="15"/>
  <c r="V33" i="15"/>
  <c r="V34" i="15"/>
  <c r="X34" i="15"/>
  <c r="AA35" i="15"/>
  <c r="AG35" i="15" s="1"/>
  <c r="Z35" i="15"/>
  <c r="Z26" i="15"/>
  <c r="X26" i="15"/>
  <c r="V24" i="15"/>
  <c r="AA32" i="15"/>
  <c r="AG32" i="15" s="1"/>
  <c r="X42" i="15"/>
  <c r="X27" i="15"/>
  <c r="AA33" i="15"/>
  <c r="Y30" i="15"/>
  <c r="X39" i="15"/>
  <c r="X30" i="15"/>
  <c r="V28" i="15"/>
  <c r="W25" i="15"/>
  <c r="W27" i="15"/>
  <c r="V42" i="15"/>
  <c r="W36" i="15"/>
  <c r="V25" i="15"/>
  <c r="W26" i="15"/>
  <c r="AA41" i="15"/>
  <c r="AG41" i="15" s="1"/>
  <c r="X35" i="15"/>
  <c r="W41" i="15"/>
  <c r="W33" i="15"/>
  <c r="V40" i="15"/>
  <c r="V35" i="15"/>
  <c r="Y35" i="15"/>
  <c r="AA27" i="15"/>
  <c r="AG27" i="15" s="1"/>
  <c r="Y24" i="15"/>
  <c r="V30" i="15"/>
  <c r="X28" i="15"/>
  <c r="V26" i="15"/>
  <c r="AA25" i="15"/>
  <c r="AG25" i="15" s="1"/>
  <c r="X37" i="15"/>
  <c r="W30" i="15"/>
  <c r="W31" i="15"/>
  <c r="Z28" i="15"/>
  <c r="AA30" i="15"/>
  <c r="AG30" i="15" s="1"/>
  <c r="X38" i="15"/>
  <c r="V36" i="15"/>
  <c r="V27" i="15"/>
  <c r="Y25" i="15"/>
  <c r="Y41" i="15"/>
  <c r="X40" i="15"/>
  <c r="X23" i="15"/>
  <c r="V23" i="15"/>
  <c r="AA39" i="15"/>
  <c r="AG39" i="15" s="1"/>
  <c r="AA37" i="15"/>
  <c r="Y32" i="15"/>
  <c r="Y26" i="15"/>
  <c r="AA42" i="15"/>
  <c r="AG42" i="15" s="1"/>
  <c r="Y42" i="15"/>
  <c r="X41" i="15"/>
  <c r="Y38" i="15"/>
  <c r="Z37" i="15"/>
  <c r="AF37" i="15" s="1"/>
  <c r="W23" i="15"/>
  <c r="W42" i="15"/>
  <c r="X36" i="15"/>
  <c r="Y39" i="15"/>
  <c r="AE39" i="15" s="1"/>
  <c r="Y37" i="15"/>
  <c r="Z31" i="15"/>
  <c r="W24" i="15"/>
  <c r="X29" i="15"/>
  <c r="AD29" i="15" s="1"/>
  <c r="AA34" i="15"/>
  <c r="AG34" i="15" s="1"/>
  <c r="W39" i="15"/>
  <c r="Z32" i="15"/>
  <c r="AA24" i="15"/>
  <c r="AG24" i="15" s="1"/>
  <c r="Z23" i="15"/>
  <c r="Z42" i="15"/>
  <c r="AA40" i="15"/>
  <c r="AG40" i="15" s="1"/>
  <c r="X32" i="15"/>
  <c r="AD32" i="15" s="1"/>
  <c r="W28" i="15"/>
  <c r="Y33" i="15"/>
  <c r="V39" i="15"/>
  <c r="W35" i="15"/>
  <c r="AC35" i="15" s="1"/>
  <c r="Z36" i="15"/>
  <c r="Y31" i="15"/>
  <c r="X33" i="15"/>
  <c r="V29" i="15"/>
  <c r="AB29" i="15" s="1"/>
  <c r="Z39" i="15"/>
  <c r="V37" i="15"/>
  <c r="AA31" i="15"/>
  <c r="AG31" i="15" s="1"/>
  <c r="Z34" i="15"/>
  <c r="AF34" i="15" s="1"/>
  <c r="Y28" i="15"/>
  <c r="V31" i="15"/>
  <c r="AA23" i="15"/>
  <c r="AG23" i="15" s="1"/>
  <c r="Y29" i="15"/>
  <c r="Z29" i="15"/>
  <c r="Z40" i="15"/>
  <c r="Y27" i="15"/>
  <c r="Z27" i="15"/>
  <c r="W34" i="15"/>
  <c r="X25" i="15"/>
  <c r="Z41" i="15"/>
  <c r="AA28" i="15"/>
  <c r="AG28" i="15" s="1"/>
  <c r="Z24" i="15"/>
  <c r="V41" i="15"/>
  <c r="W38" i="15"/>
  <c r="Z38" i="15"/>
  <c r="AF38" i="15" s="1"/>
  <c r="Y34" i="15"/>
  <c r="Z25" i="15"/>
  <c r="V38" i="15"/>
  <c r="Y40" i="15"/>
  <c r="AE40" i="15" s="1"/>
  <c r="Z33" i="15"/>
  <c r="AA26" i="15"/>
  <c r="X31" i="15"/>
  <c r="B11" i="5" a="1"/>
  <c r="B11" i="5" s="1"/>
  <c r="B10" i="5"/>
  <c r="J27" i="17"/>
  <c r="J36" i="17" a="1"/>
  <c r="AF34" i="9"/>
  <c r="AF41" i="9"/>
  <c r="AC35" i="9"/>
  <c r="AA37" i="9"/>
  <c r="AD28" i="9"/>
  <c r="AB34" i="9"/>
  <c r="AB41" i="9"/>
  <c r="AB40" i="9"/>
  <c r="AA32" i="9"/>
  <c r="AC28" i="9"/>
  <c r="AF26" i="9"/>
  <c r="AF33" i="9"/>
  <c r="AD39" i="9"/>
  <c r="AC25" i="9"/>
  <c r="AA29" i="9"/>
  <c r="AB28" i="9"/>
  <c r="AF38" i="9"/>
  <c r="AC39" i="9"/>
  <c r="AD24" i="9"/>
  <c r="AB35" i="9"/>
  <c r="AC29" i="9"/>
  <c r="AA33" i="9"/>
  <c r="AB30" i="9"/>
  <c r="AF40" i="9"/>
  <c r="AE25" i="9"/>
  <c r="AD26" i="9"/>
  <c r="AB37" i="9"/>
  <c r="K28" i="17"/>
  <c r="J17" i="4"/>
  <c r="H17" i="4"/>
  <c r="L17" i="4"/>
  <c r="AF35" i="15"/>
  <c r="AF26" i="15"/>
  <c r="AD37" i="15"/>
  <c r="AD26" i="15"/>
  <c r="AC30" i="15"/>
  <c r="AB24" i="15"/>
  <c r="AC31" i="15"/>
  <c r="AF28" i="15"/>
  <c r="AD42" i="15"/>
  <c r="AD27" i="15"/>
  <c r="AD38" i="15"/>
  <c r="AG33" i="15"/>
  <c r="AB36" i="15"/>
  <c r="AE30" i="15"/>
  <c r="AB27" i="15"/>
  <c r="AD39" i="15"/>
  <c r="AE25" i="15"/>
  <c r="AD30" i="15"/>
  <c r="AE41" i="15"/>
  <c r="AB28" i="15"/>
  <c r="AD40" i="15"/>
  <c r="AC25" i="15"/>
  <c r="AD23" i="15"/>
  <c r="AC27" i="15"/>
  <c r="AB23" i="15"/>
  <c r="AB42" i="15"/>
  <c r="AC31" i="9"/>
  <c r="AA25" i="9"/>
  <c r="AA39" i="9"/>
  <c r="AB32" i="9"/>
  <c r="AB39" i="9"/>
  <c r="AA30" i="9"/>
  <c r="AA28" i="9"/>
  <c r="AC24" i="9"/>
  <c r="AE35" i="9"/>
  <c r="AF27" i="9"/>
  <c r="AD37" i="9"/>
  <c r="AE26" i="9"/>
  <c r="AE40" i="9"/>
  <c r="AE30" i="9"/>
  <c r="AC34" i="9"/>
  <c r="AF30" i="9"/>
  <c r="AD41" i="9"/>
  <c r="AA27" i="9"/>
  <c r="AB27" i="9"/>
  <c r="AF37" i="9"/>
  <c r="AE34" i="9"/>
  <c r="AC38" i="9"/>
  <c r="AF32" i="9"/>
  <c r="AC27" i="9"/>
  <c r="AA31" i="9"/>
  <c r="AB29" i="9"/>
  <c r="AF39" i="9"/>
  <c r="M28" i="17"/>
  <c r="N16" i="4"/>
  <c r="P16" i="4" s="1"/>
  <c r="K17" i="4"/>
  <c r="AE32" i="15"/>
  <c r="AE26" i="15"/>
  <c r="AE42" i="15"/>
  <c r="AD41" i="15"/>
  <c r="AE38" i="15"/>
  <c r="AC23" i="15"/>
  <c r="AC42" i="15"/>
  <c r="AD36" i="15"/>
  <c r="AE37" i="15"/>
  <c r="AF31" i="15"/>
  <c r="AC24" i="15"/>
  <c r="AC39" i="15"/>
  <c r="AF32" i="15"/>
  <c r="AF23" i="15"/>
  <c r="AF42" i="15"/>
  <c r="AC28" i="15"/>
  <c r="AE33" i="15"/>
  <c r="AB39" i="15"/>
  <c r="AF36" i="15"/>
  <c r="AE31" i="15"/>
  <c r="C10" i="5"/>
  <c r="AE38" i="9"/>
  <c r="AA35" i="9"/>
  <c r="AB26" i="9"/>
  <c r="AB33" i="9"/>
  <c r="AA26" i="9"/>
  <c r="AC37" i="9"/>
  <c r="AE33" i="9"/>
  <c r="AE31" i="9"/>
  <c r="AF25" i="9"/>
  <c r="AD31" i="9"/>
  <c r="AD38" i="9"/>
  <c r="AE36" i="9"/>
  <c r="AC30" i="9"/>
  <c r="AB25" i="9"/>
  <c r="AA36" i="9"/>
  <c r="AE39" i="9"/>
  <c r="AD33" i="9"/>
  <c r="AE28" i="9"/>
  <c r="AC32" i="9"/>
  <c r="AF29" i="9"/>
  <c r="AD40" i="9"/>
  <c r="AA40" i="9"/>
  <c r="AF24" i="9"/>
  <c r="AD35" i="9"/>
  <c r="AE32" i="9"/>
  <c r="AC36" i="9"/>
  <c r="AF31" i="9"/>
  <c r="J28" i="17"/>
  <c r="J37" i="17" a="1"/>
  <c r="A19" i="4"/>
  <c r="B18" i="4"/>
  <c r="AD33" i="15"/>
  <c r="AF39" i="15"/>
  <c r="AB37" i="15"/>
  <c r="AE28" i="15"/>
  <c r="AB31" i="15"/>
  <c r="AE29" i="15"/>
  <c r="AF29" i="15"/>
  <c r="AF40" i="15"/>
  <c r="AE27" i="15"/>
  <c r="AF27" i="15"/>
  <c r="AC34" i="15"/>
  <c r="AD25" i="15"/>
  <c r="AF41" i="15"/>
  <c r="AF24" i="15"/>
  <c r="AB41" i="15"/>
  <c r="AC38" i="15"/>
  <c r="AE34" i="15"/>
  <c r="AF25" i="15"/>
  <c r="AB38" i="15"/>
  <c r="AF33" i="15"/>
  <c r="AD31" i="15"/>
  <c r="AE23" i="15"/>
  <c r="Y39" i="12"/>
  <c r="U37" i="12"/>
  <c r="W34" i="12"/>
  <c r="Y31" i="12"/>
  <c r="U29" i="12"/>
  <c r="W26" i="12"/>
  <c r="Y23" i="12"/>
  <c r="V37" i="12"/>
  <c r="Z31" i="12"/>
  <c r="V27" i="12"/>
  <c r="V40" i="12"/>
  <c r="V34" i="12"/>
  <c r="X27" i="12"/>
  <c r="V26" i="12"/>
  <c r="Y38" i="12"/>
  <c r="U36" i="12"/>
  <c r="W33" i="12"/>
  <c r="Y30" i="12"/>
  <c r="U28" i="12"/>
  <c r="W25" i="12"/>
  <c r="X40" i="12"/>
  <c r="V35" i="12"/>
  <c r="V29" i="12"/>
  <c r="Z23" i="12"/>
  <c r="V36" i="12"/>
  <c r="V30" i="12"/>
  <c r="Z24" i="12"/>
  <c r="W40" i="12"/>
  <c r="Y37" i="12"/>
  <c r="U35" i="12"/>
  <c r="W32" i="12"/>
  <c r="Y29" i="12"/>
  <c r="U27" i="12"/>
  <c r="W24" i="12"/>
  <c r="X38" i="12"/>
  <c r="V33" i="12"/>
  <c r="X28" i="12"/>
  <c r="V23" i="12"/>
  <c r="X23" i="12"/>
  <c r="V25" i="12"/>
  <c r="U26" i="12"/>
  <c r="W27" i="12"/>
  <c r="Y28" i="12"/>
  <c r="X29" i="12"/>
  <c r="X30" i="12"/>
  <c r="X31" i="12"/>
  <c r="Z32" i="12"/>
  <c r="U34" i="12"/>
  <c r="W35" i="12"/>
  <c r="X36" i="12"/>
  <c r="Z36" i="12"/>
  <c r="U33" i="12"/>
  <c r="Z39" i="12"/>
  <c r="X37" i="12"/>
  <c r="W37" i="12"/>
  <c r="Y26" i="12"/>
  <c r="X26" i="12"/>
  <c r="V32" i="12"/>
  <c r="U31" i="12"/>
  <c r="Z35" i="12"/>
  <c r="Y24" i="12"/>
  <c r="Z28" i="12"/>
  <c r="Z33" i="12"/>
  <c r="Y36" i="12"/>
  <c r="W39" i="12"/>
  <c r="W30" i="12"/>
  <c r="X34" i="12"/>
  <c r="Z30" i="12"/>
  <c r="Y34" i="12"/>
  <c r="U24" i="12"/>
  <c r="X39" i="12"/>
  <c r="U39" i="12"/>
  <c r="W28" i="12"/>
  <c r="V31" i="12"/>
  <c r="X25" i="12"/>
  <c r="U30" i="12"/>
  <c r="Z34" i="12"/>
  <c r="Z38" i="12"/>
  <c r="Y40" i="12"/>
  <c r="W38" i="12"/>
  <c r="Y27" i="12"/>
  <c r="Z29" i="12"/>
  <c r="V24" i="12"/>
  <c r="U32" i="12"/>
  <c r="Z37" i="12"/>
  <c r="X33" i="12"/>
  <c r="W36" i="12"/>
  <c r="Y25" i="12"/>
  <c r="Z25" i="12"/>
  <c r="Z26" i="12"/>
  <c r="W31" i="12"/>
  <c r="X35" i="12"/>
  <c r="U38" i="12"/>
  <c r="V39" i="12"/>
  <c r="Y35" i="12"/>
  <c r="U25" i="12"/>
  <c r="X24" i="12"/>
  <c r="U40" i="12"/>
  <c r="W29" i="12"/>
  <c r="X32" i="12"/>
  <c r="V28" i="12"/>
  <c r="Y33" i="12"/>
  <c r="U23" i="12"/>
  <c r="W23" i="12"/>
  <c r="Z27" i="12"/>
  <c r="Y32" i="12"/>
  <c r="V38" i="12"/>
  <c r="Z40" i="12"/>
  <c r="J43" i="5"/>
  <c r="J44" i="5" s="1"/>
  <c r="J16" i="5" s="1"/>
  <c r="I43" i="5"/>
  <c r="I44" i="5" s="1"/>
  <c r="I16" i="5" s="1"/>
  <c r="K43" i="5"/>
  <c r="K44" i="5" s="1"/>
  <c r="K16" i="5" s="1"/>
  <c r="M43" i="5"/>
  <c r="M44" i="5" s="1"/>
  <c r="M16" i="5" s="1"/>
  <c r="M17" i="5" s="1"/>
  <c r="L43" i="5"/>
  <c r="L44" i="5" s="1"/>
  <c r="L16" i="5" s="1"/>
  <c r="L17" i="5" s="1"/>
  <c r="AB24" i="9"/>
  <c r="AB31" i="9"/>
  <c r="AF36" i="9"/>
  <c r="AC33" i="9"/>
  <c r="AE29" i="9"/>
  <c r="AA41" i="9"/>
  <c r="AD30" i="9"/>
  <c r="AD29" i="9"/>
  <c r="AD36" i="9"/>
  <c r="AE24" i="9"/>
  <c r="AC26" i="9"/>
  <c r="AC40" i="9"/>
  <c r="AF28" i="9"/>
  <c r="AF35" i="9"/>
  <c r="AC41" i="9"/>
  <c r="AD25" i="9"/>
  <c r="AB36" i="9"/>
  <c r="AA34" i="9"/>
  <c r="AE37" i="9"/>
  <c r="AD32" i="9"/>
  <c r="AA24" i="9"/>
  <c r="AE27" i="9"/>
  <c r="AD27" i="9"/>
  <c r="AB38" i="9"/>
  <c r="AA38" i="9"/>
  <c r="AE41" i="9"/>
  <c r="AD34" i="9"/>
  <c r="L28" i="17"/>
  <c r="AG37" i="15"/>
  <c r="D10" i="5"/>
  <c r="G17" i="4"/>
  <c r="AG26" i="15"/>
  <c r="AC36" i="15"/>
  <c r="AB25" i="15"/>
  <c r="AB33" i="15"/>
  <c r="AC26" i="15"/>
  <c r="AF30" i="15"/>
  <c r="AD24" i="15"/>
  <c r="AD35" i="15"/>
  <c r="AC37" i="15"/>
  <c r="AC41" i="15"/>
  <c r="AB34" i="15"/>
  <c r="AC33" i="15"/>
  <c r="AC40" i="15"/>
  <c r="AB40" i="15"/>
  <c r="AE36" i="15"/>
  <c r="AB35" i="15"/>
  <c r="AC32" i="15"/>
  <c r="AE35" i="15"/>
  <c r="AD34" i="15"/>
  <c r="AB32" i="15"/>
  <c r="AE24" i="15"/>
  <c r="AG36" i="15"/>
  <c r="AB30" i="15"/>
  <c r="AG38" i="15"/>
  <c r="AD28" i="15"/>
  <c r="AB26" i="15"/>
  <c r="AC29" i="15"/>
  <c r="AG24" i="9" l="1" a="1"/>
  <c r="AJ25" i="9" s="1"/>
  <c r="AP25" i="9" s="1"/>
  <c r="K17" i="5"/>
  <c r="R12" i="5"/>
  <c r="AB38" i="12"/>
  <c r="AA23" i="12"/>
  <c r="AC29" i="12"/>
  <c r="AE35" i="12"/>
  <c r="AC31" i="12"/>
  <c r="AC36" i="12"/>
  <c r="AB24" i="12"/>
  <c r="AE40" i="12"/>
  <c r="AD25" i="12"/>
  <c r="AD39" i="12"/>
  <c r="AD34" i="12"/>
  <c r="AF33" i="12"/>
  <c r="AA31" i="12"/>
  <c r="AC37" i="12"/>
  <c r="AF36" i="12"/>
  <c r="AF32" i="12"/>
  <c r="AE28" i="12"/>
  <c r="AD23" i="12"/>
  <c r="AD38" i="12"/>
  <c r="AC32" i="12"/>
  <c r="AF24" i="12"/>
  <c r="AB29" i="12"/>
  <c r="AA28" i="12"/>
  <c r="AE38" i="12"/>
  <c r="AB40" i="12"/>
  <c r="AE23" i="12"/>
  <c r="AC34" i="12"/>
  <c r="J18" i="4"/>
  <c r="L18" i="4"/>
  <c r="H18" i="4"/>
  <c r="M37" i="17"/>
  <c r="J37" i="17"/>
  <c r="N37" i="17"/>
  <c r="L37" i="17"/>
  <c r="K37" i="17"/>
  <c r="M17" i="4"/>
  <c r="O17" i="4" s="1"/>
  <c r="AH23" i="15" a="1"/>
  <c r="M36" i="17"/>
  <c r="J36" i="17"/>
  <c r="N36" i="17"/>
  <c r="K36" i="17"/>
  <c r="K38" i="17" s="1"/>
  <c r="D8" i="17" s="1"/>
  <c r="L36" i="17"/>
  <c r="I17" i="5"/>
  <c r="P12" i="5"/>
  <c r="AE32" i="12"/>
  <c r="AE33" i="12"/>
  <c r="AA40" i="12"/>
  <c r="AB39" i="12"/>
  <c r="AF26" i="12"/>
  <c r="AD33" i="12"/>
  <c r="AF29" i="12"/>
  <c r="AF38" i="12"/>
  <c r="AB31" i="12"/>
  <c r="AA24" i="12"/>
  <c r="AC30" i="12"/>
  <c r="AF28" i="12"/>
  <c r="AB32" i="12"/>
  <c r="AD37" i="12"/>
  <c r="AD36" i="12"/>
  <c r="AD31" i="12"/>
  <c r="AC27" i="12"/>
  <c r="AB23" i="12"/>
  <c r="AC24" i="12"/>
  <c r="AA35" i="12"/>
  <c r="AB30" i="12"/>
  <c r="AB35" i="12"/>
  <c r="AE30" i="12"/>
  <c r="AB26" i="12"/>
  <c r="AB27" i="12"/>
  <c r="AC26" i="12"/>
  <c r="AA37" i="12"/>
  <c r="A20" i="4"/>
  <c r="B19" i="4"/>
  <c r="K19" i="4" s="1"/>
  <c r="J38" i="17"/>
  <c r="C8" i="17" s="1"/>
  <c r="N17" i="4"/>
  <c r="P17" i="4" s="1"/>
  <c r="J17" i="5"/>
  <c r="Q12" i="5"/>
  <c r="AF27" i="12"/>
  <c r="AB28" i="12"/>
  <c r="AD24" i="12"/>
  <c r="AA38" i="12"/>
  <c r="AF25" i="12"/>
  <c r="AF37" i="12"/>
  <c r="AE27" i="12"/>
  <c r="AF34" i="12"/>
  <c r="AC28" i="12"/>
  <c r="AE34" i="12"/>
  <c r="AC39" i="12"/>
  <c r="AE24" i="12"/>
  <c r="AD26" i="12"/>
  <c r="AF39" i="12"/>
  <c r="AC35" i="12"/>
  <c r="AD30" i="12"/>
  <c r="AA26" i="12"/>
  <c r="AD28" i="12"/>
  <c r="AA27" i="12"/>
  <c r="AE37" i="12"/>
  <c r="AB36" i="12"/>
  <c r="AD40" i="12"/>
  <c r="AC33" i="12"/>
  <c r="AD27" i="12"/>
  <c r="AF31" i="12"/>
  <c r="AA29" i="12"/>
  <c r="AE39" i="12"/>
  <c r="I18" i="4"/>
  <c r="M38" i="17"/>
  <c r="F8" i="17" s="1"/>
  <c r="L38" i="17"/>
  <c r="E8" i="17" s="1"/>
  <c r="AF40" i="12"/>
  <c r="AC23" i="12"/>
  <c r="AD32" i="12"/>
  <c r="AA25" i="12"/>
  <c r="AD35" i="12"/>
  <c r="AE25" i="12"/>
  <c r="AA32" i="12"/>
  <c r="AC38" i="12"/>
  <c r="AA30" i="12"/>
  <c r="AA39" i="12"/>
  <c r="AF30" i="12"/>
  <c r="AE36" i="12"/>
  <c r="AF35" i="12"/>
  <c r="AE26" i="12"/>
  <c r="AA33" i="12"/>
  <c r="AA34" i="12"/>
  <c r="AD29" i="12"/>
  <c r="AB25" i="12"/>
  <c r="AB33" i="12"/>
  <c r="AE29" i="12"/>
  <c r="AC40" i="12"/>
  <c r="AF23" i="12"/>
  <c r="AC25" i="12"/>
  <c r="AA36" i="12"/>
  <c r="AB34" i="12"/>
  <c r="AB37" i="12"/>
  <c r="AE31" i="12"/>
  <c r="G18" i="4"/>
  <c r="K18" i="4"/>
  <c r="M18" i="4" s="1"/>
  <c r="O18" i="4" s="1"/>
  <c r="E10" i="5"/>
  <c r="F10" i="5"/>
  <c r="AH38" i="9" l="1"/>
  <c r="AN38" i="9" s="1"/>
  <c r="AJ34" i="9"/>
  <c r="AP34" i="9" s="1"/>
  <c r="AJ27" i="9"/>
  <c r="AP27" i="9" s="1"/>
  <c r="AG41" i="9"/>
  <c r="AM41" i="9" s="1"/>
  <c r="AG30" i="9"/>
  <c r="AM30" i="9" s="1"/>
  <c r="AK33" i="9"/>
  <c r="AQ33" i="9" s="1"/>
  <c r="AI37" i="9"/>
  <c r="AO37" i="9" s="1"/>
  <c r="AI28" i="9"/>
  <c r="AO28" i="9" s="1"/>
  <c r="AK24" i="9"/>
  <c r="AQ24" i="9" s="1"/>
  <c r="AL31" i="9"/>
  <c r="AR31" i="9" s="1"/>
  <c r="AK35" i="9"/>
  <c r="AQ35" i="9" s="1"/>
  <c r="AG32" i="9"/>
  <c r="AM32" i="9" s="1"/>
  <c r="AJ35" i="9"/>
  <c r="AP35" i="9" s="1"/>
  <c r="AL24" i="9"/>
  <c r="AR24" i="9" s="1"/>
  <c r="AK40" i="9"/>
  <c r="AQ40" i="9" s="1"/>
  <c r="AL39" i="9"/>
  <c r="AR39" i="9" s="1"/>
  <c r="AH29" i="9"/>
  <c r="AN29" i="9" s="1"/>
  <c r="AI30" i="9"/>
  <c r="AO30" i="9" s="1"/>
  <c r="AK26" i="9"/>
  <c r="AQ26" i="9" s="1"/>
  <c r="AL32" i="9"/>
  <c r="AR32" i="9" s="1"/>
  <c r="AG39" i="9"/>
  <c r="AM39" i="9" s="1"/>
  <c r="AI35" i="9"/>
  <c r="AO35" i="9" s="1"/>
  <c r="AH37" i="9"/>
  <c r="AN37" i="9" s="1"/>
  <c r="AJ26" i="9"/>
  <c r="AP26" i="9" s="1"/>
  <c r="AG25" i="9"/>
  <c r="AM25" i="9" s="1"/>
  <c r="AL40" i="9"/>
  <c r="AR40" i="9" s="1"/>
  <c r="AH30" i="9"/>
  <c r="AN30" i="9" s="1"/>
  <c r="AK37" i="9"/>
  <c r="AQ37" i="9" s="1"/>
  <c r="AI32" i="9"/>
  <c r="AO32" i="9" s="1"/>
  <c r="AG27" i="9"/>
  <c r="AM27" i="9" s="1"/>
  <c r="AI39" i="9"/>
  <c r="AO39" i="9" s="1"/>
  <c r="AG34" i="9"/>
  <c r="AM34" i="9" s="1"/>
  <c r="AK28" i="9"/>
  <c r="AQ28" i="9" s="1"/>
  <c r="AL41" i="9"/>
  <c r="AR41" i="9" s="1"/>
  <c r="AH39" i="9"/>
  <c r="AN39" i="9" s="1"/>
  <c r="AJ36" i="9"/>
  <c r="AP36" i="9" s="1"/>
  <c r="AL33" i="9"/>
  <c r="AR33" i="9" s="1"/>
  <c r="AH31" i="9"/>
  <c r="AN31" i="9" s="1"/>
  <c r="AJ28" i="9"/>
  <c r="AP28" i="9" s="1"/>
  <c r="AL25" i="9"/>
  <c r="AR25" i="9" s="1"/>
  <c r="AK39" i="9"/>
  <c r="AQ39" i="9" s="1"/>
  <c r="AI34" i="9"/>
  <c r="AO34" i="9" s="1"/>
  <c r="AG29" i="9"/>
  <c r="AM29" i="9" s="1"/>
  <c r="AI41" i="9"/>
  <c r="AO41" i="9" s="1"/>
  <c r="AG36" i="9"/>
  <c r="AM36" i="9" s="1"/>
  <c r="AK30" i="9"/>
  <c r="AQ30" i="9" s="1"/>
  <c r="AI25" i="9"/>
  <c r="AO25" i="9" s="1"/>
  <c r="AH40" i="9"/>
  <c r="AN40" i="9" s="1"/>
  <c r="AJ37" i="9"/>
  <c r="AP37" i="9" s="1"/>
  <c r="AL34" i="9"/>
  <c r="AR34" i="9" s="1"/>
  <c r="AH32" i="9"/>
  <c r="AN32" i="9" s="1"/>
  <c r="AJ29" i="9"/>
  <c r="AP29" i="9" s="1"/>
  <c r="AL26" i="9"/>
  <c r="AR26" i="9" s="1"/>
  <c r="AJ24" i="9"/>
  <c r="AP24" i="9" s="1"/>
  <c r="AK41" i="9"/>
  <c r="AQ41" i="9" s="1"/>
  <c r="AI36" i="9"/>
  <c r="AO36" i="9" s="1"/>
  <c r="AG31" i="9"/>
  <c r="AM31" i="9" s="1"/>
  <c r="AK25" i="9"/>
  <c r="AQ25" i="9" s="1"/>
  <c r="AG38" i="9"/>
  <c r="AM38" i="9" s="1"/>
  <c r="AK32" i="9"/>
  <c r="AQ32" i="9" s="1"/>
  <c r="AI27" i="9"/>
  <c r="AO27" i="9" s="1"/>
  <c r="AH41" i="9"/>
  <c r="AN41" i="9" s="1"/>
  <c r="AJ38" i="9"/>
  <c r="AP38" i="9" s="1"/>
  <c r="AL35" i="9"/>
  <c r="AR35" i="9" s="1"/>
  <c r="AH33" i="9"/>
  <c r="AN33" i="9" s="1"/>
  <c r="AJ30" i="9"/>
  <c r="AP30" i="9" s="1"/>
  <c r="AL27" i="9"/>
  <c r="AR27" i="9" s="1"/>
  <c r="AH25" i="9"/>
  <c r="AN25" i="9" s="1"/>
  <c r="AI38" i="9"/>
  <c r="AO38" i="9" s="1"/>
  <c r="AG33" i="9"/>
  <c r="AM33" i="9" s="1"/>
  <c r="AK27" i="9"/>
  <c r="AQ27" i="9" s="1"/>
  <c r="AG40" i="9"/>
  <c r="AM40" i="9" s="1"/>
  <c r="AK34" i="9"/>
  <c r="AQ34" i="9" s="1"/>
  <c r="AI29" i="9"/>
  <c r="AO29" i="9" s="1"/>
  <c r="AG24" i="9"/>
  <c r="AM24" i="9" s="1"/>
  <c r="AJ39" i="9"/>
  <c r="AP39" i="9" s="1"/>
  <c r="AL36" i="9"/>
  <c r="AR36" i="9" s="1"/>
  <c r="AH34" i="9"/>
  <c r="AN34" i="9" s="1"/>
  <c r="AJ31" i="9"/>
  <c r="AP31" i="9" s="1"/>
  <c r="AL28" i="9"/>
  <c r="AR28" i="9" s="1"/>
  <c r="AH26" i="9"/>
  <c r="AN26" i="9" s="1"/>
  <c r="AI40" i="9"/>
  <c r="AO40" i="9" s="1"/>
  <c r="AG35" i="9"/>
  <c r="AM35" i="9" s="1"/>
  <c r="AK29" i="9"/>
  <c r="AQ29" i="9" s="1"/>
  <c r="AI24" i="9"/>
  <c r="AO24" i="9" s="1"/>
  <c r="D50" i="9" s="1" a="1"/>
  <c r="AK36" i="9"/>
  <c r="AQ36" i="9" s="1"/>
  <c r="AI31" i="9"/>
  <c r="AO31" i="9" s="1"/>
  <c r="AG26" i="9"/>
  <c r="AM26" i="9" s="1"/>
  <c r="AJ40" i="9"/>
  <c r="AP40" i="9" s="1"/>
  <c r="AL37" i="9"/>
  <c r="AR37" i="9" s="1"/>
  <c r="AH35" i="9"/>
  <c r="AN35" i="9" s="1"/>
  <c r="AJ32" i="9"/>
  <c r="AP32" i="9" s="1"/>
  <c r="AL29" i="9"/>
  <c r="AR29" i="9" s="1"/>
  <c r="AH27" i="9"/>
  <c r="AN27" i="9" s="1"/>
  <c r="AH24" i="9"/>
  <c r="AN24" i="9" s="1"/>
  <c r="AG37" i="9"/>
  <c r="AM37" i="9" s="1"/>
  <c r="AK31" i="9"/>
  <c r="AQ31" i="9" s="1"/>
  <c r="AI26" i="9"/>
  <c r="AO26" i="9" s="1"/>
  <c r="AK38" i="9"/>
  <c r="AQ38" i="9" s="1"/>
  <c r="AI33" i="9"/>
  <c r="AO33" i="9" s="1"/>
  <c r="AG28" i="9"/>
  <c r="AM28" i="9" s="1"/>
  <c r="AJ41" i="9"/>
  <c r="AP41" i="9" s="1"/>
  <c r="AL38" i="9"/>
  <c r="AR38" i="9" s="1"/>
  <c r="AH36" i="9"/>
  <c r="AN36" i="9" s="1"/>
  <c r="AJ33" i="9"/>
  <c r="AP33" i="9" s="1"/>
  <c r="AL30" i="9"/>
  <c r="AR30" i="9" s="1"/>
  <c r="AH28" i="9"/>
  <c r="AN28" i="9" s="1"/>
  <c r="I19" i="4"/>
  <c r="A21" i="4"/>
  <c r="B20" i="4"/>
  <c r="K20" i="4" s="1"/>
  <c r="I20" i="4"/>
  <c r="B50" i="9" a="1"/>
  <c r="C50" i="9" a="1"/>
  <c r="AK23" i="15"/>
  <c r="AQ23" i="15" s="1"/>
  <c r="AI24" i="15"/>
  <c r="AO24" i="15" s="1"/>
  <c r="AM24" i="15"/>
  <c r="AS24" i="15" s="1"/>
  <c r="AK25" i="15"/>
  <c r="AQ25" i="15" s="1"/>
  <c r="AI26" i="15"/>
  <c r="AO26" i="15" s="1"/>
  <c r="AM26" i="15"/>
  <c r="AS26" i="15" s="1"/>
  <c r="AK27" i="15"/>
  <c r="AQ27" i="15" s="1"/>
  <c r="AI28" i="15"/>
  <c r="AO28" i="15" s="1"/>
  <c r="AM28" i="15"/>
  <c r="AS28" i="15" s="1"/>
  <c r="AK29" i="15"/>
  <c r="AQ29" i="15" s="1"/>
  <c r="AI30" i="15"/>
  <c r="AO30" i="15" s="1"/>
  <c r="AM30" i="15"/>
  <c r="AS30" i="15" s="1"/>
  <c r="AK31" i="15"/>
  <c r="AQ31" i="15" s="1"/>
  <c r="AI32" i="15"/>
  <c r="AO32" i="15" s="1"/>
  <c r="AM32" i="15"/>
  <c r="AS32" i="15" s="1"/>
  <c r="AK33" i="15"/>
  <c r="AQ33" i="15" s="1"/>
  <c r="AI34" i="15"/>
  <c r="AO34" i="15" s="1"/>
  <c r="AM34" i="15"/>
  <c r="AS34" i="15" s="1"/>
  <c r="AI23" i="15"/>
  <c r="AO23" i="15" s="1"/>
  <c r="AM23" i="15"/>
  <c r="AS23" i="15" s="1"/>
  <c r="AK24" i="15"/>
  <c r="AQ24" i="15" s="1"/>
  <c r="AI25" i="15"/>
  <c r="AO25" i="15" s="1"/>
  <c r="AM25" i="15"/>
  <c r="AS25" i="15" s="1"/>
  <c r="AK26" i="15"/>
  <c r="AQ26" i="15" s="1"/>
  <c r="AI27" i="15"/>
  <c r="AO27" i="15" s="1"/>
  <c r="AM27" i="15"/>
  <c r="AS27" i="15" s="1"/>
  <c r="AK28" i="15"/>
  <c r="AQ28" i="15" s="1"/>
  <c r="AI29" i="15"/>
  <c r="AO29" i="15" s="1"/>
  <c r="AM29" i="15"/>
  <c r="AS29" i="15" s="1"/>
  <c r="AK30" i="15"/>
  <c r="AQ30" i="15" s="1"/>
  <c r="AI31" i="15"/>
  <c r="AO31" i="15" s="1"/>
  <c r="AM31" i="15"/>
  <c r="AS31" i="15" s="1"/>
  <c r="AK32" i="15"/>
  <c r="AQ32" i="15" s="1"/>
  <c r="AI33" i="15"/>
  <c r="AO33" i="15" s="1"/>
  <c r="AM33" i="15"/>
  <c r="AS33" i="15" s="1"/>
  <c r="AK34" i="15"/>
  <c r="AQ34" i="15" s="1"/>
  <c r="AI35" i="15"/>
  <c r="AO35" i="15" s="1"/>
  <c r="AM35" i="15"/>
  <c r="AS35" i="15" s="1"/>
  <c r="AK36" i="15"/>
  <c r="AQ36" i="15" s="1"/>
  <c r="AI37" i="15"/>
  <c r="AO37" i="15" s="1"/>
  <c r="AM37" i="15"/>
  <c r="AS37" i="15" s="1"/>
  <c r="AK38" i="15"/>
  <c r="AQ38" i="15" s="1"/>
  <c r="AI39" i="15"/>
  <c r="AO39" i="15" s="1"/>
  <c r="AM39" i="15"/>
  <c r="AS39" i="15" s="1"/>
  <c r="AK40" i="15"/>
  <c r="AQ40" i="15" s="1"/>
  <c r="AI41" i="15"/>
  <c r="AO41" i="15" s="1"/>
  <c r="AM41" i="15"/>
  <c r="AS41" i="15" s="1"/>
  <c r="AK42" i="15"/>
  <c r="AQ42" i="15" s="1"/>
  <c r="AJ23" i="15"/>
  <c r="AP23" i="15" s="1"/>
  <c r="AL24" i="15"/>
  <c r="AR24" i="15" s="1"/>
  <c r="AH26" i="15"/>
  <c r="AN26" i="15" s="1"/>
  <c r="AJ27" i="15"/>
  <c r="AP27" i="15" s="1"/>
  <c r="AL28" i="15"/>
  <c r="AR28" i="15" s="1"/>
  <c r="AH30" i="15"/>
  <c r="AN30" i="15" s="1"/>
  <c r="AJ31" i="15"/>
  <c r="AP31" i="15" s="1"/>
  <c r="AL32" i="15"/>
  <c r="AR32" i="15" s="1"/>
  <c r="AH34" i="15"/>
  <c r="AN34" i="15" s="1"/>
  <c r="AJ35" i="15"/>
  <c r="AP35" i="15" s="1"/>
  <c r="AL36" i="15"/>
  <c r="AR36" i="15" s="1"/>
  <c r="AH38" i="15"/>
  <c r="AN38" i="15" s="1"/>
  <c r="AJ39" i="15"/>
  <c r="AP39" i="15" s="1"/>
  <c r="AL40" i="15"/>
  <c r="AR40" i="15" s="1"/>
  <c r="AH42" i="15"/>
  <c r="AN42" i="15" s="1"/>
  <c r="AH23" i="15"/>
  <c r="AN23" i="15" s="1"/>
  <c r="AJ24" i="15"/>
  <c r="AP24" i="15" s="1"/>
  <c r="AL25" i="15"/>
  <c r="AR25" i="15" s="1"/>
  <c r="AH27" i="15"/>
  <c r="AN27" i="15" s="1"/>
  <c r="AJ28" i="15"/>
  <c r="AP28" i="15" s="1"/>
  <c r="AL29" i="15"/>
  <c r="AR29" i="15" s="1"/>
  <c r="AH31" i="15"/>
  <c r="AN31" i="15" s="1"/>
  <c r="AJ32" i="15"/>
  <c r="AP32" i="15" s="1"/>
  <c r="AL33" i="15"/>
  <c r="AR33" i="15" s="1"/>
  <c r="AH35" i="15"/>
  <c r="AN35" i="15" s="1"/>
  <c r="AJ36" i="15"/>
  <c r="AP36" i="15" s="1"/>
  <c r="AL37" i="15"/>
  <c r="AR37" i="15" s="1"/>
  <c r="AH39" i="15"/>
  <c r="AN39" i="15" s="1"/>
  <c r="AJ40" i="15"/>
  <c r="AP40" i="15" s="1"/>
  <c r="AL41" i="15"/>
  <c r="AR41" i="15" s="1"/>
  <c r="AM36" i="15"/>
  <c r="AS36" i="15" s="1"/>
  <c r="AK39" i="15"/>
  <c r="AQ39" i="15" s="1"/>
  <c r="AI42" i="15"/>
  <c r="AO42" i="15" s="1"/>
  <c r="AL26" i="15"/>
  <c r="AR26" i="15" s="1"/>
  <c r="AH32" i="15"/>
  <c r="AN32" i="15" s="1"/>
  <c r="AJ37" i="15"/>
  <c r="AP37" i="15" s="1"/>
  <c r="AL42" i="15"/>
  <c r="AR42" i="15" s="1"/>
  <c r="AL27" i="15"/>
  <c r="AR27" i="15" s="1"/>
  <c r="AH33" i="15"/>
  <c r="AN33" i="15" s="1"/>
  <c r="AJ38" i="15"/>
  <c r="AP38" i="15" s="1"/>
  <c r="AK37" i="15"/>
  <c r="AQ37" i="15" s="1"/>
  <c r="AI40" i="15"/>
  <c r="AO40" i="15" s="1"/>
  <c r="AM42" i="15"/>
  <c r="AS42" i="15" s="1"/>
  <c r="AH28" i="15"/>
  <c r="AN28" i="15" s="1"/>
  <c r="AJ33" i="15"/>
  <c r="AP33" i="15" s="1"/>
  <c r="AL38" i="15"/>
  <c r="AR38" i="15" s="1"/>
  <c r="AL23" i="15"/>
  <c r="AR23" i="15" s="1"/>
  <c r="AH29" i="15"/>
  <c r="AN29" i="15" s="1"/>
  <c r="AJ34" i="15"/>
  <c r="AP34" i="15" s="1"/>
  <c r="AL39" i="15"/>
  <c r="AR39" i="15" s="1"/>
  <c r="AK35" i="15"/>
  <c r="AQ35" i="15" s="1"/>
  <c r="AI38" i="15"/>
  <c r="AO38" i="15" s="1"/>
  <c r="AM40" i="15"/>
  <c r="AS40" i="15" s="1"/>
  <c r="AH24" i="15"/>
  <c r="AN24" i="15" s="1"/>
  <c r="AJ29" i="15"/>
  <c r="AP29" i="15" s="1"/>
  <c r="AL34" i="15"/>
  <c r="AR34" i="15" s="1"/>
  <c r="AH40" i="15"/>
  <c r="AN40" i="15" s="1"/>
  <c r="AH25" i="15"/>
  <c r="AN25" i="15" s="1"/>
  <c r="AJ30" i="15"/>
  <c r="AP30" i="15" s="1"/>
  <c r="AL35" i="15"/>
  <c r="AR35" i="15" s="1"/>
  <c r="AH41" i="15"/>
  <c r="AN41" i="15" s="1"/>
  <c r="AI36" i="15"/>
  <c r="AO36" i="15" s="1"/>
  <c r="AM38" i="15"/>
  <c r="AS38" i="15" s="1"/>
  <c r="AK41" i="15"/>
  <c r="AQ41" i="15" s="1"/>
  <c r="AJ25" i="15"/>
  <c r="AP25" i="15" s="1"/>
  <c r="AL30" i="15"/>
  <c r="AR30" i="15" s="1"/>
  <c r="AH36" i="15"/>
  <c r="AN36" i="15" s="1"/>
  <c r="AJ41" i="15"/>
  <c r="AP41" i="15" s="1"/>
  <c r="AJ26" i="15"/>
  <c r="AP26" i="15" s="1"/>
  <c r="AL31" i="15"/>
  <c r="AR31" i="15" s="1"/>
  <c r="AH37" i="15"/>
  <c r="AN37" i="15" s="1"/>
  <c r="AJ42" i="15"/>
  <c r="AP42" i="15" s="1"/>
  <c r="N18" i="4"/>
  <c r="P18" i="4" s="1"/>
  <c r="AG23" i="12" a="1"/>
  <c r="F50" i="9" a="1"/>
  <c r="C51" i="9" a="1"/>
  <c r="E51" i="9" a="1"/>
  <c r="B51" i="9" a="1"/>
  <c r="B51" i="9" s="1"/>
  <c r="D51" i="9" a="1"/>
  <c r="F51" i="9" a="1"/>
  <c r="H19" i="4"/>
  <c r="L19" i="4"/>
  <c r="N19" i="4" s="1"/>
  <c r="P19" i="4" s="1"/>
  <c r="J19" i="4"/>
  <c r="G19" i="4"/>
  <c r="M19" i="4" s="1"/>
  <c r="O19" i="4" s="1"/>
  <c r="N38" i="17"/>
  <c r="G8" i="17" s="1"/>
  <c r="E50" i="9" a="1"/>
  <c r="E50" i="9" s="1"/>
  <c r="D51" i="9" l="1"/>
  <c r="F50" i="9"/>
  <c r="F51" i="9"/>
  <c r="C51" i="9"/>
  <c r="C50" i="9"/>
  <c r="E51" i="9"/>
  <c r="B50" i="9"/>
  <c r="B23" i="9" s="1"/>
  <c r="D50" i="9"/>
  <c r="D23" i="9" s="1"/>
  <c r="G51" i="15" a="1"/>
  <c r="G51" i="15" s="1"/>
  <c r="D51" i="15" a="1"/>
  <c r="D51" i="15" s="1"/>
  <c r="B21" i="4"/>
  <c r="G21" i="4"/>
  <c r="A22" i="4"/>
  <c r="I21" i="4"/>
  <c r="K21" i="4"/>
  <c r="AJ23" i="12"/>
  <c r="AP23" i="12" s="1"/>
  <c r="AH24" i="12"/>
  <c r="AN24" i="12" s="1"/>
  <c r="AL24" i="12"/>
  <c r="AR24" i="12" s="1"/>
  <c r="AJ25" i="12"/>
  <c r="AP25" i="12" s="1"/>
  <c r="AH26" i="12"/>
  <c r="AN26" i="12" s="1"/>
  <c r="AL26" i="12"/>
  <c r="AR26" i="12" s="1"/>
  <c r="AJ27" i="12"/>
  <c r="AP27" i="12" s="1"/>
  <c r="AH28" i="12"/>
  <c r="AN28" i="12" s="1"/>
  <c r="AL28" i="12"/>
  <c r="AR28" i="12" s="1"/>
  <c r="AJ29" i="12"/>
  <c r="AP29" i="12" s="1"/>
  <c r="AH30" i="12"/>
  <c r="AN30" i="12" s="1"/>
  <c r="AL30" i="12"/>
  <c r="AR30" i="12" s="1"/>
  <c r="AJ31" i="12"/>
  <c r="AP31" i="12" s="1"/>
  <c r="AH32" i="12"/>
  <c r="AN32" i="12" s="1"/>
  <c r="AL32" i="12"/>
  <c r="AR32" i="12" s="1"/>
  <c r="AJ33" i="12"/>
  <c r="AP33" i="12" s="1"/>
  <c r="AH34" i="12"/>
  <c r="AN34" i="12" s="1"/>
  <c r="AL34" i="12"/>
  <c r="AR34" i="12" s="1"/>
  <c r="AJ35" i="12"/>
  <c r="AP35" i="12" s="1"/>
  <c r="AH36" i="12"/>
  <c r="AN36" i="12" s="1"/>
  <c r="AL36" i="12"/>
  <c r="AR36" i="12" s="1"/>
  <c r="AH23" i="12"/>
  <c r="AN23" i="12" s="1"/>
  <c r="AL23" i="12"/>
  <c r="AR23" i="12" s="1"/>
  <c r="AJ24" i="12"/>
  <c r="AP24" i="12" s="1"/>
  <c r="AH25" i="12"/>
  <c r="AN25" i="12" s="1"/>
  <c r="AL25" i="12"/>
  <c r="AR25" i="12" s="1"/>
  <c r="AJ26" i="12"/>
  <c r="AP26" i="12" s="1"/>
  <c r="AH27" i="12"/>
  <c r="AN27" i="12" s="1"/>
  <c r="AL27" i="12"/>
  <c r="AR27" i="12" s="1"/>
  <c r="AJ28" i="12"/>
  <c r="AP28" i="12" s="1"/>
  <c r="AH29" i="12"/>
  <c r="AN29" i="12" s="1"/>
  <c r="AL29" i="12"/>
  <c r="AR29" i="12" s="1"/>
  <c r="AJ30" i="12"/>
  <c r="AP30" i="12" s="1"/>
  <c r="AH31" i="12"/>
  <c r="AN31" i="12" s="1"/>
  <c r="AL31" i="12"/>
  <c r="AR31" i="12" s="1"/>
  <c r="AJ32" i="12"/>
  <c r="AP32" i="12" s="1"/>
  <c r="AH33" i="12"/>
  <c r="AN33" i="12" s="1"/>
  <c r="AL33" i="12"/>
  <c r="AR33" i="12" s="1"/>
  <c r="AJ34" i="12"/>
  <c r="AP34" i="12" s="1"/>
  <c r="AH35" i="12"/>
  <c r="AN35" i="12" s="1"/>
  <c r="AL35" i="12"/>
  <c r="AR35" i="12" s="1"/>
  <c r="AJ36" i="12"/>
  <c r="AP36" i="12" s="1"/>
  <c r="AH37" i="12"/>
  <c r="AN37" i="12" s="1"/>
  <c r="AL37" i="12"/>
  <c r="AR37" i="12" s="1"/>
  <c r="AJ38" i="12"/>
  <c r="AP38" i="12" s="1"/>
  <c r="AH39" i="12"/>
  <c r="AN39" i="12" s="1"/>
  <c r="AL39" i="12"/>
  <c r="AR39" i="12" s="1"/>
  <c r="AJ40" i="12"/>
  <c r="AP40" i="12" s="1"/>
  <c r="AG23" i="12"/>
  <c r="AM23" i="12" s="1"/>
  <c r="AI24" i="12"/>
  <c r="AO24" i="12" s="1"/>
  <c r="AK25" i="12"/>
  <c r="AQ25" i="12" s="1"/>
  <c r="AG27" i="12"/>
  <c r="AM27" i="12" s="1"/>
  <c r="AI28" i="12"/>
  <c r="AO28" i="12" s="1"/>
  <c r="AK29" i="12"/>
  <c r="AQ29" i="12" s="1"/>
  <c r="AG31" i="12"/>
  <c r="AM31" i="12" s="1"/>
  <c r="AI32" i="12"/>
  <c r="AO32" i="12" s="1"/>
  <c r="AK33" i="12"/>
  <c r="AQ33" i="12" s="1"/>
  <c r="AG35" i="12"/>
  <c r="AM35" i="12" s="1"/>
  <c r="AI36" i="12"/>
  <c r="AO36" i="12" s="1"/>
  <c r="AK37" i="12"/>
  <c r="AQ37" i="12" s="1"/>
  <c r="AG39" i="12"/>
  <c r="AM39" i="12" s="1"/>
  <c r="AI40" i="12"/>
  <c r="AO40" i="12" s="1"/>
  <c r="AG24" i="12"/>
  <c r="AM24" i="12" s="1"/>
  <c r="AI25" i="12"/>
  <c r="AO25" i="12" s="1"/>
  <c r="AK26" i="12"/>
  <c r="AQ26" i="12" s="1"/>
  <c r="AG28" i="12"/>
  <c r="AM28" i="12" s="1"/>
  <c r="AI29" i="12"/>
  <c r="AO29" i="12" s="1"/>
  <c r="AK30" i="12"/>
  <c r="AQ30" i="12" s="1"/>
  <c r="AK32" i="12"/>
  <c r="AQ32" i="12" s="1"/>
  <c r="AG34" i="12"/>
  <c r="AM34" i="12" s="1"/>
  <c r="AI35" i="12"/>
  <c r="AO35" i="12" s="1"/>
  <c r="AK36" i="12"/>
  <c r="AQ36" i="12" s="1"/>
  <c r="AG38" i="12"/>
  <c r="AM38" i="12" s="1"/>
  <c r="AI39" i="12"/>
  <c r="AO39" i="12" s="1"/>
  <c r="AI31" i="12"/>
  <c r="AO31" i="12" s="1"/>
  <c r="AH38" i="12"/>
  <c r="AN38" i="12" s="1"/>
  <c r="AJ39" i="12"/>
  <c r="AP39" i="12" s="1"/>
  <c r="AL40" i="12"/>
  <c r="AR40" i="12" s="1"/>
  <c r="AG25" i="12"/>
  <c r="AM25" i="12" s="1"/>
  <c r="AK27" i="12"/>
  <c r="AQ27" i="12" s="1"/>
  <c r="AI30" i="12"/>
  <c r="AO30" i="12" s="1"/>
  <c r="AG33" i="12"/>
  <c r="AM33" i="12" s="1"/>
  <c r="AK35" i="12"/>
  <c r="AQ35" i="12" s="1"/>
  <c r="AI38" i="12"/>
  <c r="AO38" i="12" s="1"/>
  <c r="AI23" i="12"/>
  <c r="AO23" i="12" s="1"/>
  <c r="AG26" i="12"/>
  <c r="AM26" i="12" s="1"/>
  <c r="AK28" i="12"/>
  <c r="AQ28" i="12" s="1"/>
  <c r="AG32" i="12"/>
  <c r="AM32" i="12" s="1"/>
  <c r="AK34" i="12"/>
  <c r="AQ34" i="12" s="1"/>
  <c r="AI37" i="12"/>
  <c r="AO37" i="12" s="1"/>
  <c r="AG40" i="12"/>
  <c r="AM40" i="12" s="1"/>
  <c r="AJ37" i="12"/>
  <c r="AP37" i="12" s="1"/>
  <c r="AL38" i="12"/>
  <c r="AR38" i="12" s="1"/>
  <c r="AH40" i="12"/>
  <c r="AN40" i="12" s="1"/>
  <c r="AK23" i="12"/>
  <c r="AQ23" i="12" s="1"/>
  <c r="AI26" i="12"/>
  <c r="AO26" i="12" s="1"/>
  <c r="AG29" i="12"/>
  <c r="AM29" i="12" s="1"/>
  <c r="AK31" i="12"/>
  <c r="AQ31" i="12" s="1"/>
  <c r="AI34" i="12"/>
  <c r="AO34" i="12" s="1"/>
  <c r="AG37" i="12"/>
  <c r="AM37" i="12" s="1"/>
  <c r="AK39" i="12"/>
  <c r="AQ39" i="12" s="1"/>
  <c r="AK24" i="12"/>
  <c r="AQ24" i="12" s="1"/>
  <c r="AI27" i="12"/>
  <c r="AO27" i="12" s="1"/>
  <c r="AG30" i="12"/>
  <c r="AM30" i="12" s="1"/>
  <c r="AI33" i="12"/>
  <c r="AO33" i="12" s="1"/>
  <c r="AG36" i="12"/>
  <c r="AM36" i="12" s="1"/>
  <c r="AK38" i="12"/>
  <c r="AQ38" i="12" s="1"/>
  <c r="AK40" i="12"/>
  <c r="AQ40" i="12" s="1"/>
  <c r="E23" i="9"/>
  <c r="E51" i="15" a="1"/>
  <c r="E51" i="15" s="1"/>
  <c r="F51" i="15" a="1"/>
  <c r="F51" i="15" s="1"/>
  <c r="J20" i="4"/>
  <c r="L20" i="4"/>
  <c r="N20" i="4" s="1"/>
  <c r="P20" i="4" s="1"/>
  <c r="H20" i="4"/>
  <c r="C51" i="15" a="1"/>
  <c r="C51" i="15" s="1"/>
  <c r="G52" i="15" a="1"/>
  <c r="G52" i="15" s="1"/>
  <c r="G22" i="15" s="1"/>
  <c r="C52" i="15" a="1"/>
  <c r="C52" i="15" s="1"/>
  <c r="F52" i="15" a="1"/>
  <c r="F52" i="15" s="1"/>
  <c r="D52" i="15" a="1"/>
  <c r="D52" i="15" s="1"/>
  <c r="D22" i="15" s="1"/>
  <c r="E52" i="15" a="1"/>
  <c r="E52" i="15" s="1"/>
  <c r="E22" i="15" s="1"/>
  <c r="G20" i="4"/>
  <c r="M20" i="4" s="1"/>
  <c r="O20" i="4" s="1"/>
  <c r="F23" i="9" l="1"/>
  <c r="C23" i="9"/>
  <c r="C22" i="15"/>
  <c r="F49" i="12" a="1"/>
  <c r="F49" i="12" s="1"/>
  <c r="C50" i="12" a="1"/>
  <c r="C50" i="12" s="1"/>
  <c r="D50" i="12" a="1"/>
  <c r="D50" i="12" s="1"/>
  <c r="B50" i="12" a="1"/>
  <c r="B50" i="12" s="1"/>
  <c r="F50" i="12" a="1"/>
  <c r="F50" i="12" s="1"/>
  <c r="F22" i="12" s="1"/>
  <c r="E50" i="12" a="1"/>
  <c r="E50" i="12" s="1"/>
  <c r="F22" i="15"/>
  <c r="B10" i="9" a="1"/>
  <c r="B10" i="9" s="1"/>
  <c r="C49" i="12" a="1"/>
  <c r="C49" i="12" s="1"/>
  <c r="B22" i="4"/>
  <c r="I22" i="4" s="1"/>
  <c r="A23" i="4"/>
  <c r="G22" i="4"/>
  <c r="C9" i="15" a="1"/>
  <c r="D49" i="12" a="1"/>
  <c r="D49" i="12" s="1"/>
  <c r="B49" i="12" a="1"/>
  <c r="B49" i="12" s="1"/>
  <c r="E49" i="12" a="1"/>
  <c r="E49" i="12" s="1"/>
  <c r="M21" i="4"/>
  <c r="O21" i="4" s="1"/>
  <c r="H21" i="4"/>
  <c r="L21" i="4"/>
  <c r="J21" i="4"/>
  <c r="E22" i="12" l="1"/>
  <c r="C22" i="12"/>
  <c r="C9" i="15"/>
  <c r="D17" i="15" s="1"/>
  <c r="K22" i="4"/>
  <c r="N21" i="4"/>
  <c r="P21" i="4" s="1"/>
  <c r="D18" i="9"/>
  <c r="D17" i="12" s="1"/>
  <c r="B18" i="9"/>
  <c r="B17" i="12" s="1"/>
  <c r="F18" i="9"/>
  <c r="F17" i="12" s="1"/>
  <c r="C18" i="9"/>
  <c r="C17" i="12" s="1"/>
  <c r="B22" i="12"/>
  <c r="E18" i="9"/>
  <c r="E17" i="12" s="1"/>
  <c r="L22" i="4"/>
  <c r="J22" i="4"/>
  <c r="H22" i="4"/>
  <c r="B23" i="4"/>
  <c r="A24" i="4"/>
  <c r="K23" i="4"/>
  <c r="D22" i="12"/>
  <c r="F17" i="15" l="1"/>
  <c r="C17" i="15"/>
  <c r="G17" i="15"/>
  <c r="E17" i="15"/>
  <c r="B24" i="4"/>
  <c r="A25" i="4"/>
  <c r="K24" i="4"/>
  <c r="B9" i="12" a="1"/>
  <c r="B9" i="12" s="1"/>
  <c r="H23" i="4"/>
  <c r="L23" i="4"/>
  <c r="J23" i="4"/>
  <c r="G23" i="4"/>
  <c r="I23" i="4"/>
  <c r="N22" i="4"/>
  <c r="P22" i="4" s="1"/>
  <c r="M22" i="4"/>
  <c r="O22" i="4" s="1"/>
  <c r="B25" i="4" l="1"/>
  <c r="K25" i="4" s="1"/>
  <c r="A26" i="4"/>
  <c r="G25" i="4"/>
  <c r="N23" i="4"/>
  <c r="P23" i="4" s="1"/>
  <c r="M23" i="4"/>
  <c r="O23" i="4" s="1"/>
  <c r="L24" i="4"/>
  <c r="H24" i="4"/>
  <c r="J24" i="4"/>
  <c r="G24" i="4"/>
  <c r="M24" i="4" s="1"/>
  <c r="O24" i="4" s="1"/>
  <c r="I24" i="4"/>
  <c r="A27" i="4" l="1"/>
  <c r="K26" i="4"/>
  <c r="B26" i="4"/>
  <c r="I26" i="4" s="1"/>
  <c r="G26" i="4"/>
  <c r="H25" i="4"/>
  <c r="L25" i="4"/>
  <c r="N25" i="4" s="1"/>
  <c r="P25" i="4" s="1"/>
  <c r="J25" i="4"/>
  <c r="N24" i="4"/>
  <c r="P24" i="4" s="1"/>
  <c r="I25" i="4"/>
  <c r="A28" i="4" l="1"/>
  <c r="G27" i="4"/>
  <c r="B27" i="4"/>
  <c r="L26" i="4"/>
  <c r="H26" i="4"/>
  <c r="J26" i="4"/>
  <c r="M25" i="4"/>
  <c r="O25" i="4" s="1"/>
  <c r="N26" i="4" l="1"/>
  <c r="P26" i="4" s="1"/>
  <c r="A29" i="4"/>
  <c r="B28" i="4"/>
  <c r="K28" i="4" s="1"/>
  <c r="J27" i="4"/>
  <c r="H27" i="4"/>
  <c r="L27" i="4"/>
  <c r="N27" i="4" s="1"/>
  <c r="P27" i="4" s="1"/>
  <c r="K27" i="4"/>
  <c r="I27" i="4"/>
  <c r="M26" i="4"/>
  <c r="O26" i="4" s="1"/>
  <c r="G28" i="4" l="1"/>
  <c r="M28" i="4" s="1"/>
  <c r="O28" i="4" s="1"/>
  <c r="I28" i="4"/>
  <c r="M27" i="4"/>
  <c r="O27" i="4" s="1"/>
  <c r="A30" i="4"/>
  <c r="I29" i="4"/>
  <c r="B29" i="4"/>
  <c r="G29" i="4"/>
  <c r="K29" i="4"/>
  <c r="J28" i="4"/>
  <c r="L28" i="4"/>
  <c r="H28" i="4"/>
  <c r="N28" i="4" l="1"/>
  <c r="P28" i="4" s="1"/>
  <c r="H29" i="4"/>
  <c r="L29" i="4"/>
  <c r="J29" i="4"/>
  <c r="M29" i="4" s="1"/>
  <c r="O29" i="4" s="1"/>
  <c r="B30" i="4"/>
  <c r="K30" i="4"/>
  <c r="I30" i="4"/>
  <c r="N29" i="4" l="1"/>
  <c r="P29" i="4" s="1"/>
  <c r="L30" i="4"/>
  <c r="H30" i="4"/>
  <c r="J30" i="4"/>
  <c r="G30" i="4"/>
  <c r="M30" i="4" s="1"/>
  <c r="O30" i="4" s="1"/>
  <c r="N30" i="4" l="1"/>
  <c r="P30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P31" authorId="0" shapeId="0" xr:uid="{00000000-0006-0000-0200-000001000000}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 shapeId="0" xr:uid="{00000000-0006-0000-0200-000002000000}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 shapeId="0" xr:uid="{00000000-0006-0000-0200-000003000000}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 shapeId="0" xr:uid="{00000000-0006-0000-0200-000004000000}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 shapeId="0" xr:uid="{00000000-0006-0000-0200-000005000000}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C9" authorId="0" shapeId="0" xr:uid="{00000000-0006-0000-0700-000001000000}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 shapeId="0" xr:uid="{00000000-0006-0000-0700-000002000000}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 shapeId="0" xr:uid="{00000000-0006-0000-0700-000003000000}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 shapeId="0" xr:uid="{00000000-0006-0000-0700-000004000000}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 shapeId="0" xr:uid="{00000000-0006-0000-0700-000005000000}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 shapeId="0" xr:uid="{00000000-0006-0000-0700-000006000000}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 shapeId="0" xr:uid="{00000000-0006-0000-0700-000007000000}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AU8" authorId="0" shapeId="0" xr:uid="{00000000-0006-0000-0900-000001000000}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<sst xmlns="http://schemas.openxmlformats.org/spreadsheetml/2006/main" count="554" uniqueCount="350">
  <si>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</si>
  <si>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</si>
  <si>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</si>
  <si>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</si>
  <si>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</si>
  <si>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</si>
  <si>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</si>
  <si>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</si>
  <si>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</si>
  <si>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</si>
  <si>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</si>
  <si>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</si>
  <si>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</si>
  <si>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</si>
  <si>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</si>
  <si>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</si>
  <si>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</si>
  <si>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</si>
  <si>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</si>
  <si>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</si>
  <si>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</si>
  <si>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</si>
  <si>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</si>
  <si>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</si>
  <si>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</si>
  <si>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</si>
  <si>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</si>
  <si>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</si>
  <si>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</si>
  <si>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</si>
  <si>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</si>
  <si>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</si>
  <si>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</si>
  <si>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</si>
  <si>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</si>
  <si>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</si>
  <si>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</si>
  <si>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</si>
  <si>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</si>
  <si>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</si>
  <si>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</si>
  <si>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</si>
  <si>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</si>
  <si>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</si>
  <si>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</si>
  <si>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</si>
  <si>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</si>
  <si>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</si>
  <si>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</si>
  <si>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</si>
  <si>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t>(1) Methanol</t>
  </si>
  <si>
    <t>(2) Benzene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</si>
  <si>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</si>
  <si>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</si>
  <si>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</si>
  <si>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</si>
  <si>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</si>
  <si>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</si>
  <si>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</si>
  <si>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</si>
  <si>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</si>
  <si>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</si>
  <si>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</si>
  <si>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</si>
  <si>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</si>
  <si>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</si>
  <si>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</si>
  <si>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</si>
  <si>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</si>
  <si>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</si>
  <si>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</si>
  <si>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</si>
  <si>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</si>
  <si>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</si>
  <si>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</si>
  <si>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</si>
  <si>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</si>
  <si>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</si>
  <si>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</si>
  <si>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</si>
  <si>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</si>
  <si>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</si>
  <si>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</si>
  <si>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</si>
  <si>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</si>
  <si>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</si>
  <si>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</si>
  <si>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</si>
  <si>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</si>
  <si>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</si>
  <si>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</si>
  <si>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</si>
  <si>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</si>
  <si>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</si>
  <si>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</si>
  <si>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</si>
  <si>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</si>
  <si>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</si>
  <si>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</si>
  <si>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</si>
  <si>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</si>
  <si>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</si>
  <si>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</si>
  <si>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</si>
  <si>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</si>
  <si>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</si>
  <si>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</si>
  <si>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</si>
  <si>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</si>
  <si>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</si>
  <si>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</si>
  <si>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</si>
  <si>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</si>
  <si>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</si>
  <si>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</si>
  <si>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</si>
  <si>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</si>
  <si>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</si>
  <si>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</si>
  <si>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</si>
  <si>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</si>
  <si>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</si>
  <si>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</si>
  <si>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</si>
  <si>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</si>
  <si>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</si>
  <si>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</si>
  <si>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</si>
  <si>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</si>
  <si>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</si>
  <si>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</si>
  <si>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</si>
  <si>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</si>
  <si>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</si>
  <si>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</si>
  <si>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</si>
  <si>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</si>
  <si>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</si>
  <si>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</si>
  <si>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</si>
  <si>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</si>
  <si>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</si>
  <si>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</si>
  <si>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</si>
  <si>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</si>
  <si>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</si>
  <si>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</si>
  <si>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</si>
  <si>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</si>
  <si>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</si>
  <si>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</si>
  <si>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</si>
  <si>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</si>
  <si>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</si>
  <si>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</si>
  <si>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</si>
  <si>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</si>
  <si>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</si>
  <si>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</si>
  <si>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</si>
  <si>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</si>
  <si>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</si>
  <si>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</si>
  <si>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</si>
  <si>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</si>
  <si>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</si>
  <si>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</si>
  <si>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</si>
  <si>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</si>
  <si>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</si>
  <si>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</si>
  <si>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</si>
  <si>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</si>
  <si>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</si>
  <si>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</si>
  <si>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</si>
  <si>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</si>
  <si>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</si>
  <si>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</si>
  <si>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</si>
  <si>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</si>
  <si>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</si>
  <si>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</si>
  <si>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</si>
  <si>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</si>
  <si>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</si>
  <si>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</si>
  <si>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</si>
  <si>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</si>
  <si>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</si>
  <si>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</si>
  <si>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</si>
  <si>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</si>
  <si>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</si>
  <si>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</si>
  <si>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</si>
  <si>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</si>
  <si>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</si>
  <si>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</si>
  <si>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</si>
  <si>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</si>
  <si>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</si>
  <si>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</si>
  <si>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</si>
  <si>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</si>
  <si>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</si>
  <si>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</si>
  <si>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</si>
  <si>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</si>
  <si>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</si>
  <si>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</si>
  <si>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</si>
  <si>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</si>
  <si>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</si>
  <si>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</si>
  <si>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</si>
  <si>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</si>
  <si>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</si>
  <si>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</si>
  <si>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</si>
  <si>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</si>
  <si>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</si>
  <si>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</si>
  <si>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</si>
  <si>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</si>
  <si>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</si>
  <si>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</si>
  <si>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</si>
  <si>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</si>
  <si>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</si>
  <si>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</si>
  <si>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</si>
  <si>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</si>
  <si>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</si>
  <si>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</si>
  <si>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</si>
  <si>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</si>
  <si>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</si>
  <si>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</si>
  <si>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</si>
  <si>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</si>
  <si>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</si>
  <si>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</si>
  <si>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</si>
  <si>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</si>
  <si>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</si>
  <si>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</si>
  <si>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</si>
  <si>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</si>
  <si>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</si>
  <si>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</si>
  <si>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</si>
  <si>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</si>
  <si>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</si>
  <si>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</si>
  <si>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</si>
  <si>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</si>
  <si>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</si>
  <si>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</si>
  <si>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</si>
  <si>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</si>
  <si>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</si>
  <si>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</si>
  <si>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</si>
  <si>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</si>
  <si>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</si>
  <si>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</si>
  <si>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</si>
  <si>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</si>
  <si>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</si>
  <si>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</si>
  <si>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</si>
  <si>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</si>
  <si>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</si>
  <si>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</si>
  <si>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</si>
  <si>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</si>
  <si>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</si>
  <si>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</si>
  <si>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</si>
  <si>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</si>
  <si>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</si>
  <si>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</si>
  <si>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</si>
  <si>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</si>
  <si>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</si>
  <si>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</si>
  <si>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</si>
  <si>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</si>
  <si>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</si>
  <si>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</si>
  <si>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</si>
  <si>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</si>
  <si>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</si>
  <si>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</si>
  <si>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</si>
  <si>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</si>
  <si>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</si>
  <si>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</si>
  <si>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</si>
  <si>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</si>
  <si>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</si>
  <si>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</si>
  <si>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</si>
  <si>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</si>
  <si>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</si>
  <si>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</si>
  <si>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</si>
  <si>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</si>
  <si>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</si>
  <si>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</si>
  <si>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</si>
  <si>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</si>
  <si>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</si>
  <si>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</si>
  <si>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</si>
  <si>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</si>
  <si>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</si>
  <si>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</si>
  <si>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</si>
  <si>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</si>
  <si>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</si>
  <si>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</si>
  <si>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</si>
  <si>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</si>
  <si>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</si>
  <si>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</si>
  <si>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</si>
  <si>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</si>
  <si>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</si>
  <si>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</si>
  <si>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</si>
  <si>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</si>
  <si>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</si>
  <si>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</si>
  <si>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</si>
  <si>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</si>
  <si>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</si>
  <si>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</si>
  <si>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</si>
  <si>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</si>
  <si>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</si>
  <si>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</si>
  <si>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</si>
  <si>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</si>
  <si>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</si>
  <si>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none</t>
  </si>
  <si>
    <t>ethyl benzene</t>
  </si>
  <si>
    <t>Methanol</t>
  </si>
  <si>
    <t>C6H12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</si>
</sst>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5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u/>
      <sz val="10"/>
      <color theme="10"/>
      <name val="Courier"/>
      <family val="1"/>
    </font>
    <font>
      <u/>
      <sz val="10"/>
      <color theme="11"/>
      <name val="Courier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 xr:uid="{00000000-0005-0000-0000-00000B000000}"/>
    <cellStyle name="Normal_aij-unifac" xfId="2" xr:uid="{00000000-0005-0000-0000-00000C000000}"/>
    <cellStyle name="Normal_nrtlaug11" xfId="3" xr:uid="{00000000-0005-0000-0000-00000D000000}"/>
    <cellStyle name="Normal_Regular" xfId="4" xr:uid="{00000000-0005-0000-0000-00000E000000}"/>
    <cellStyle name="Normal_unifac" xfId="5" xr:uid="{00000000-0005-0000-0000-00000F000000}"/>
    <cellStyle name="Normal_unifac_1" xfId="6" xr:uid="{00000000-0005-0000-0000-000010000000}"/>
    <cellStyle name="Normal_UNIQUAC5" xfId="7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001"/>
          <c:y val="0.122049520816136"/>
          <c:w val="0.78139292403614802"/>
          <c:h val="0.5560033726068399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789-9D44-989A-D69A7926AB41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</c:v>
                </c:pt>
                <c:pt idx="1">
                  <c:v>0.18523807606481901</c:v>
                </c:pt>
                <c:pt idx="2">
                  <c:v>0.30110019978909031</c:v>
                </c:pt>
                <c:pt idx="3">
                  <c:v>0.42490450918554279</c:v>
                </c:pt>
                <c:pt idx="4">
                  <c:v>0.56413292160300499</c:v>
                </c:pt>
                <c:pt idx="5">
                  <c:v>0.6635958059604512</c:v>
                </c:pt>
                <c:pt idx="6">
                  <c:v>0.68426254011950605</c:v>
                </c:pt>
                <c:pt idx="7">
                  <c:v>0.70609242119422044</c:v>
                </c:pt>
                <c:pt idx="8">
                  <c:v>0.6668775292468565</c:v>
                </c:pt>
                <c:pt idx="9">
                  <c:v>0.62387464473882026</c:v>
                </c:pt>
                <c:pt idx="10">
                  <c:v>0.55592059370370883</c:v>
                </c:pt>
                <c:pt idx="11">
                  <c:v>0.66337888032750214</c:v>
                </c:pt>
                <c:pt idx="12">
                  <c:v>0.66318930258351361</c:v>
                </c:pt>
                <c:pt idx="13">
                  <c:v>0.99999333150316094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789-9D44-989A-D69A7926AB41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789-9D44-989A-D69A7926AB41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789-9D44-989A-D69A7926A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066072"/>
        <c:axId val="2088075560"/>
      </c:scatterChart>
      <c:valAx>
        <c:axId val="208806607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75560"/>
        <c:crosses val="autoZero"/>
        <c:crossBetween val="midCat"/>
      </c:valAx>
      <c:valAx>
        <c:axId val="2088075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44416167068054E-2"/>
              <c:y val="0.32546546546546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6607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299"/>
          <c:h val="0.6090238716273219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3B-594A-B270-BF9E2E6732C8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</c:v>
                </c:pt>
                <c:pt idx="1">
                  <c:v>0.12170327389226415</c:v>
                </c:pt>
                <c:pt idx="2">
                  <c:v>0.20945461254557959</c:v>
                </c:pt>
                <c:pt idx="3">
                  <c:v>0.31606815221694556</c:v>
                </c:pt>
                <c:pt idx="4">
                  <c:v>0.4578103374498701</c:v>
                </c:pt>
                <c:pt idx="5">
                  <c:v>0.5838637083648438</c:v>
                </c:pt>
                <c:pt idx="6">
                  <c:v>0.61653194998048066</c:v>
                </c:pt>
                <c:pt idx="7">
                  <c:v>0.69585068800872807</c:v>
                </c:pt>
                <c:pt idx="8">
                  <c:v>0.7134724174738527</c:v>
                </c:pt>
                <c:pt idx="9">
                  <c:v>0.71681038959056209</c:v>
                </c:pt>
                <c:pt idx="10">
                  <c:v>0.74072331548304171</c:v>
                </c:pt>
                <c:pt idx="11">
                  <c:v>0.85950871311427757</c:v>
                </c:pt>
                <c:pt idx="12">
                  <c:v>0.85939512651294026</c:v>
                </c:pt>
                <c:pt idx="13">
                  <c:v>0.99999335545013823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3B-594A-B270-BF9E2E6732C8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3B-594A-B270-BF9E2E6732C8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3B-594A-B270-BF9E2E67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154696"/>
        <c:axId val="2088162872"/>
      </c:scatterChart>
      <c:valAx>
        <c:axId val="208815469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4387614894751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62872"/>
        <c:crosses val="autoZero"/>
        <c:crossBetween val="midCat"/>
      </c:valAx>
      <c:valAx>
        <c:axId val="2088162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630736894939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546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49999"/>
          <c:y val="0.120556414219474"/>
          <c:w val="0.77426992896606095"/>
          <c:h val="0.5703245749613600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1D-7E4D-8782-D2C95C905059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</c:v>
                </c:pt>
                <c:pt idx="1">
                  <c:v>0.22972359109167673</c:v>
                </c:pt>
                <c:pt idx="2">
                  <c:v>0.34095794753461306</c:v>
                </c:pt>
                <c:pt idx="3">
                  <c:v>0.44032709152153826</c:v>
                </c:pt>
                <c:pt idx="4">
                  <c:v>0.53102807376922501</c:v>
                </c:pt>
                <c:pt idx="5">
                  <c:v>0.58022038272507581</c:v>
                </c:pt>
                <c:pt idx="6">
                  <c:v>0.58830805428710253</c:v>
                </c:pt>
                <c:pt idx="7">
                  <c:v>0.60574856427327572</c:v>
                </c:pt>
                <c:pt idx="8">
                  <c:v>0.6334876342480783</c:v>
                </c:pt>
                <c:pt idx="9">
                  <c:v>0.66913345201255481</c:v>
                </c:pt>
                <c:pt idx="10">
                  <c:v>0.774548803002859</c:v>
                </c:pt>
                <c:pt idx="11">
                  <c:v>0.91856333050173999</c:v>
                </c:pt>
                <c:pt idx="12">
                  <c:v>0.91847726197584723</c:v>
                </c:pt>
                <c:pt idx="13">
                  <c:v>0.99999335545019952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B1D-7E4D-8782-D2C95C905059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B1D-7E4D-8782-D2C95C905059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B1D-7E4D-8782-D2C95C905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04840"/>
        <c:axId val="2088212936"/>
      </c:scatterChart>
      <c:valAx>
        <c:axId val="2088204840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2998474027955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12936"/>
        <c:crosses val="autoZero"/>
        <c:crossBetween val="midCat"/>
      </c:valAx>
      <c:valAx>
        <c:axId val="2088212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312201672465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04840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01"/>
          <c:y val="5.4158658500304602E-2"/>
          <c:w val="0.74233277082688398"/>
          <c:h val="0.79303749946874602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3.5162213412928449</c:v>
                </c:pt>
                <c:pt idx="1">
                  <c:v>3.1046529659059239</c:v>
                </c:pt>
                <c:pt idx="2">
                  <c:v>2.7603839063313402</c:v>
                </c:pt>
                <c:pt idx="3">
                  <c:v>2.4711096386763343</c:v>
                </c:pt>
                <c:pt idx="4">
                  <c:v>2.2270606035492984</c:v>
                </c:pt>
                <c:pt idx="5">
                  <c:v>2.0204387704530311</c:v>
                </c:pt>
                <c:pt idx="6">
                  <c:v>1.844989098095063</c:v>
                </c:pt>
                <c:pt idx="7">
                  <c:v>1.6956717176001468</c:v>
                </c:pt>
                <c:pt idx="8">
                  <c:v>1.5684098079557436</c:v>
                </c:pt>
                <c:pt idx="9">
                  <c:v>1.4598947180787383</c:v>
                </c:pt>
                <c:pt idx="10">
                  <c:v>1.3674346645894071</c:v>
                </c:pt>
                <c:pt idx="11">
                  <c:v>1.288836819377158</c:v>
                </c:pt>
                <c:pt idx="12">
                  <c:v>1.2223151617814934</c:v>
                </c:pt>
                <c:pt idx="13">
                  <c:v>1.1664183649555311</c:v>
                </c:pt>
                <c:pt idx="14">
                  <c:v>1.1199733985402323</c:v>
                </c:pt>
                <c:pt idx="15">
                  <c:v>1.0820415919629587</c:v>
                </c:pt>
                <c:pt idx="16">
                  <c:v>1.0518847098044506</c:v>
                </c:pt>
                <c:pt idx="17">
                  <c:v>1.0289392124028436</c:v>
                </c:pt>
                <c:pt idx="18">
                  <c:v>1.0127973627769944</c:v>
                </c:pt>
                <c:pt idx="19">
                  <c:v>1.0031942340335018</c:v>
                </c:pt>
                <c:pt idx="2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8B-0D4B-A96C-50F3F020B9D9}"/>
            </c:ext>
          </c:extLst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</c:v>
                </c:pt>
                <c:pt idx="1">
                  <c:v>1.0031942340335018</c:v>
                </c:pt>
                <c:pt idx="2">
                  <c:v>1.0127973627769944</c:v>
                </c:pt>
                <c:pt idx="3">
                  <c:v>1.0289392124028436</c:v>
                </c:pt>
                <c:pt idx="4">
                  <c:v>1.0518847098044506</c:v>
                </c:pt>
                <c:pt idx="5">
                  <c:v>1.0820415919629587</c:v>
                </c:pt>
                <c:pt idx="6">
                  <c:v>1.1199733985402323</c:v>
                </c:pt>
                <c:pt idx="7">
                  <c:v>1.1664183649555311</c:v>
                </c:pt>
                <c:pt idx="8">
                  <c:v>1.2223151617814934</c:v>
                </c:pt>
                <c:pt idx="9">
                  <c:v>1.288836819377158</c:v>
                </c:pt>
                <c:pt idx="10">
                  <c:v>1.3674346645894071</c:v>
                </c:pt>
                <c:pt idx="11">
                  <c:v>1.4598947180787383</c:v>
                </c:pt>
                <c:pt idx="12">
                  <c:v>1.5684098079557436</c:v>
                </c:pt>
                <c:pt idx="13">
                  <c:v>1.6956717176001468</c:v>
                </c:pt>
                <c:pt idx="14">
                  <c:v>1.844989098095063</c:v>
                </c:pt>
                <c:pt idx="15">
                  <c:v>2.0204387704530311</c:v>
                </c:pt>
                <c:pt idx="16">
                  <c:v>2.2270606035492984</c:v>
                </c:pt>
                <c:pt idx="17">
                  <c:v>2.4711096386763343</c:v>
                </c:pt>
                <c:pt idx="18">
                  <c:v>2.7603839063313402</c:v>
                </c:pt>
                <c:pt idx="19">
                  <c:v>3.1046529659059239</c:v>
                </c:pt>
                <c:pt idx="20">
                  <c:v>3.5162213412928449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8B-0D4B-A96C-50F3F020B9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64008"/>
        <c:axId val="2088270072"/>
      </c:scatterChart>
      <c:valAx>
        <c:axId val="208826400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497"/>
              <c:y val="0.916828718898012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70072"/>
        <c:crosses val="autoZero"/>
        <c:crossBetween val="midCat"/>
      </c:valAx>
      <c:valAx>
        <c:axId val="2088270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3.0674907885408501E-2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6400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01"/>
          <c:y val="0.10058036578628"/>
          <c:w val="0.175869471876342"/>
          <c:h val="8.3172225554039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199"/>
          <c:y val="0.10175473463108101"/>
          <c:w val="0.76851990834763495"/>
          <c:h val="0.64912503126723997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</c:v>
                </c:pt>
                <c:pt idx="1">
                  <c:v>-5.8526263184391143E-2</c:v>
                </c:pt>
                <c:pt idx="2">
                  <c:v>-7.3170809828983552E-2</c:v>
                </c:pt>
                <c:pt idx="3">
                  <c:v>-7.9417118711015908E-2</c:v>
                </c:pt>
                <c:pt idx="4">
                  <c:v>-8.1901861537314949E-2</c:v>
                </c:pt>
                <c:pt idx="5">
                  <c:v>-8.2054004240710993E-2</c:v>
                </c:pt>
                <c:pt idx="6">
                  <c:v>-8.044320908797177E-2</c:v>
                </c:pt>
                <c:pt idx="7">
                  <c:v>-7.7358534263080925E-2</c:v>
                </c:pt>
                <c:pt idx="8">
                  <c:v>-7.3001069019793405E-2</c:v>
                </c:pt>
                <c:pt idx="9">
                  <c:v>-6.7561760684280298E-2</c:v>
                </c:pt>
                <c:pt idx="10">
                  <c:v>-6.1259330978385027E-2</c:v>
                </c:pt>
                <c:pt idx="11">
                  <c:v>-5.4363498549103328E-2</c:v>
                </c:pt>
                <c:pt idx="12">
                  <c:v>-4.7213104265483051E-2</c:v>
                </c:pt>
                <c:pt idx="13">
                  <c:v>-4.0232618283381948E-2</c:v>
                </c:pt>
                <c:pt idx="14">
                  <c:v>-3.3946561598639298E-2</c:v>
                </c:pt>
                <c:pt idx="15">
                  <c:v>-2.8985335936918568E-2</c:v>
                </c:pt>
                <c:pt idx="16">
                  <c:v>-2.6060103502693714E-2</c:v>
                </c:pt>
                <c:pt idx="17">
                  <c:v>-2.5832673179705622E-2</c:v>
                </c:pt>
                <c:pt idx="18">
                  <c:v>-2.8400945527763444E-2</c:v>
                </c:pt>
                <c:pt idx="19">
                  <c:v>-3.0971603907365523E-2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C4-5A41-9416-AD3662D1A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43256"/>
        <c:axId val="2088450296"/>
      </c:scatterChart>
      <c:valAx>
        <c:axId val="2088443256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03"/>
              <c:y val="0.845616982087765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50296"/>
        <c:crossesAt val="-0.2"/>
        <c:crossBetween val="midCat"/>
        <c:majorUnit val="0.1"/>
        <c:minorUnit val="0.05"/>
      </c:valAx>
      <c:valAx>
        <c:axId val="2088450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2.9629586505013999E-2"/>
              <c:y val="0.329825666528526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4325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799"/>
          <c:y val="9.2356687898089193E-2"/>
          <c:w val="0.79742316525517398"/>
          <c:h val="0.6815286624203830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</c:v>
                </c:pt>
                <c:pt idx="1">
                  <c:v>0.61026432828693755</c:v>
                </c:pt>
                <c:pt idx="2">
                  <c:v>0.78862555732243367</c:v>
                </c:pt>
                <c:pt idx="3">
                  <c:v>0.86296523360381849</c:v>
                </c:pt>
                <c:pt idx="4">
                  <c:v>0.90409027068558112</c:v>
                </c:pt>
                <c:pt idx="5">
                  <c:v>0.93222111721580814</c:v>
                </c:pt>
                <c:pt idx="6">
                  <c:v>0.95403543806710378</c:v>
                </c:pt>
                <c:pt idx="7">
                  <c:v>0.97182309906526598</c:v>
                </c:pt>
                <c:pt idx="8">
                  <c:v>0.98627329929233643</c:v>
                </c:pt>
                <c:pt idx="9">
                  <c:v>0.9974616196302265</c:v>
                </c:pt>
                <c:pt idx="10">
                  <c:v>1.0052471654132611</c:v>
                </c:pt>
                <c:pt idx="11">
                  <c:v>1.0094566380036247</c:v>
                </c:pt>
                <c:pt idx="12">
                  <c:v>1.0099893169647214</c:v>
                </c:pt>
                <c:pt idx="13">
                  <c:v>1.0068981576656892</c:v>
                </c:pt>
                <c:pt idx="14">
                  <c:v>1.0004766312025006</c:v>
                </c:pt>
                <c:pt idx="15">
                  <c:v>0.99137730846246774</c:v>
                </c:pt>
                <c:pt idx="16">
                  <c:v>0.98080075512216336</c:v>
                </c:pt>
                <c:pt idx="17">
                  <c:v>0.97083217607706018</c:v>
                </c:pt>
                <c:pt idx="18">
                  <c:v>0.96510827683892353</c:v>
                </c:pt>
                <c:pt idx="19">
                  <c:v>0.97030549125687682</c:v>
                </c:pt>
                <c:pt idx="20">
                  <c:v>1.0000000000105798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387-1D48-94FB-D3026E5B99CB}"/>
            </c:ext>
          </c:extLst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</c:v>
                </c:pt>
                <c:pt idx="1">
                  <c:v>0.96501291087949437</c:v>
                </c:pt>
                <c:pt idx="2">
                  <c:v>0.94656460885371252</c:v>
                </c:pt>
                <c:pt idx="3">
                  <c:v>0.93479921618924078</c:v>
                </c:pt>
                <c:pt idx="4">
                  <c:v>0.925731715620421</c:v>
                </c:pt>
                <c:pt idx="5">
                  <c:v>0.91758481835481887</c:v>
                </c:pt>
                <c:pt idx="6">
                  <c:v>0.90959787532627634</c:v>
                </c:pt>
                <c:pt idx="7">
                  <c:v>0.90156503535352039</c:v>
                </c:pt>
                <c:pt idx="8">
                  <c:v>0.89363851932014249</c:v>
                </c:pt>
                <c:pt idx="9">
                  <c:v>0.88624657315857669</c:v>
                </c:pt>
                <c:pt idx="10">
                  <c:v>0.88007151394501937</c:v>
                </c:pt>
                <c:pt idx="11">
                  <c:v>0.87606798786653295</c:v>
                </c:pt>
                <c:pt idx="12">
                  <c:v>0.87551552826017787</c:v>
                </c:pt>
                <c:pt idx="13">
                  <c:v>0.88010222044219633</c:v>
                </c:pt>
                <c:pt idx="14">
                  <c:v>0.89201968358586436</c:v>
                </c:pt>
                <c:pt idx="15">
                  <c:v>0.9139667400408561</c:v>
                </c:pt>
                <c:pt idx="16">
                  <c:v>0.94861074163709913</c:v>
                </c:pt>
                <c:pt idx="17">
                  <c:v>0.99553492721594239</c:v>
                </c:pt>
                <c:pt idx="18">
                  <c:v>1.0362675510003589</c:v>
                </c:pt>
                <c:pt idx="19">
                  <c:v>0.95438316928185174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387-1D48-94FB-D3026E5B9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93928"/>
        <c:axId val="2088500296"/>
      </c:scatterChart>
      <c:valAx>
        <c:axId val="208849392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099"/>
              <c:y val="0.8598725159355079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500296"/>
        <c:crosses val="autoZero"/>
        <c:crossBetween val="midCat"/>
        <c:majorUnit val="0.1"/>
        <c:minorUnit val="0.05"/>
      </c:valAx>
      <c:valAx>
        <c:axId val="2088500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2.5782688766114201E-2"/>
              <c:y val="0.38853509977919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939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>
          <a:extLs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>
          <a:extLst>
            <a:ext uri="{FF2B5EF4-FFF2-40B4-BE49-F238E27FC236}">
              <a16:creationId xmlns:a16="http://schemas.microsoft.com/office/drawing/2014/main" id="{00000000-0008-0000-03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>
          <a:extLst>
            <a:ext uri="{FF2B5EF4-FFF2-40B4-BE49-F238E27FC236}">
              <a16:creationId xmlns:a16="http://schemas.microsoft.com/office/drawing/2014/main" id="{00000000-0008-0000-0D00-000001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>
          <a:extLst>
            <a:ext uri="{FF2B5EF4-FFF2-40B4-BE49-F238E27FC236}">
              <a16:creationId xmlns:a16="http://schemas.microsoft.com/office/drawing/2014/main" id="{00000000-0008-0000-0D00-000002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/>
  <cols>
    <col min="1" max="1" width="9.1640625" style="1" customWidth="1"/>
    <col min="2" max="2" width="16.33203125" style="1" customWidth="1"/>
    <col min="3" max="16384" width="9.1640625" style="1"/>
  </cols>
  <sheetData>
    <row r="2" spans="2:3" ht="23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308</v>
      </c>
      <c r="C12" s="1" t="s">
        <v>311</v>
      </c>
    </row>
    <row r="14" spans="2:3">
      <c r="B14" s="1" t="s">
        <v>309</v>
      </c>
      <c r="C14" s="1" t="s">
        <v>310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242</v>
      </c>
      <c r="C20" s="1" t="s">
        <v>243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240</v>
      </c>
      <c r="C27" s="1" t="s">
        <v>241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345</v>
      </c>
    </row>
    <row r="38" spans="2:2">
      <c r="B38" s="1" t="s">
        <v>306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W51"/>
  <sheetViews>
    <sheetView showGridLines="0" topLeftCell="A14" zoomScale="150" zoomScaleNormal="150" zoomScalePageLayoutView="150" workbookViewId="0">
      <selection activeCell="C23" sqref="C23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304</v>
      </c>
      <c r="B1" s="144"/>
      <c r="C1" s="144"/>
    </row>
    <row r="2" spans="1:47">
      <c r="A2" s="144" t="s">
        <v>108</v>
      </c>
      <c r="B2" s="144"/>
      <c r="C2" s="144"/>
    </row>
    <row r="3" spans="1:47">
      <c r="A3" s="144" t="s">
        <v>109</v>
      </c>
      <c r="B3" s="144"/>
      <c r="C3" s="144"/>
    </row>
    <row r="4" spans="1:47">
      <c r="A4" s="144" t="s">
        <v>305</v>
      </c>
      <c r="B4" s="144"/>
      <c r="C4" s="144"/>
    </row>
    <row r="5" spans="1:47">
      <c r="A5" s="144" t="s">
        <v>110</v>
      </c>
      <c r="B5" s="144"/>
      <c r="C5" s="144"/>
    </row>
    <row r="6" spans="1:47">
      <c r="A6" s="144" t="s">
        <v>111</v>
      </c>
      <c r="B6" s="144"/>
      <c r="C6" s="144"/>
    </row>
    <row r="7" spans="1:47">
      <c r="A7" s="144" t="s">
        <v>112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113</v>
      </c>
      <c r="E9" s="47" t="s">
        <v>114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115</v>
      </c>
      <c r="B10" s="144">
        <f t="array" ref="B10">SUM(B22:F22*B23:F23*B17:F17)</f>
        <v>0.97363460019882142</v>
      </c>
      <c r="C10" s="144" t="s">
        <v>116</v>
      </c>
      <c r="D10" s="48" t="s">
        <v>117</v>
      </c>
      <c r="E10" s="49"/>
      <c r="F10" s="49"/>
      <c r="G10" s="49"/>
      <c r="X10" s="35"/>
      <c r="AN10"/>
      <c r="AS10" s="188" t="s">
        <v>118</v>
      </c>
    </row>
    <row r="11" spans="1:47">
      <c r="A11" s="144" t="s">
        <v>178</v>
      </c>
      <c r="B11" s="145">
        <v>25</v>
      </c>
      <c r="C11" s="146" t="s">
        <v>119</v>
      </c>
      <c r="D11" s="50" t="s">
        <v>120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121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1">
      <c r="B13" s="36" t="s">
        <v>122</v>
      </c>
      <c r="C13" s="36" t="s">
        <v>123</v>
      </c>
      <c r="D13" s="36" t="s">
        <v>124</v>
      </c>
      <c r="E13" s="36" t="s">
        <v>125</v>
      </c>
      <c r="F13" s="36" t="s">
        <v>126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248</v>
      </c>
    </row>
    <row r="14" spans="1:47" s="72" customFormat="1" ht="11">
      <c r="A14" s="35" t="s">
        <v>127</v>
      </c>
      <c r="B14" s="57">
        <v>6.47682</v>
      </c>
      <c r="C14" s="57">
        <v>0</v>
      </c>
      <c r="D14" s="57">
        <v>8.0713100000000004</v>
      </c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249</v>
      </c>
    </row>
    <row r="15" spans="1:47" s="72" customFormat="1" ht="11">
      <c r="A15" s="35" t="s">
        <v>128</v>
      </c>
      <c r="B15" s="57">
        <v>2603.3589999999999</v>
      </c>
      <c r="C15" s="57">
        <v>0</v>
      </c>
      <c r="D15" s="57">
        <v>1730.63</v>
      </c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247</v>
      </c>
    </row>
    <row r="16" spans="1:47" s="72" customFormat="1" ht="11">
      <c r="A16" s="35" t="s">
        <v>129</v>
      </c>
      <c r="B16" s="57">
        <v>321.94900000000001</v>
      </c>
      <c r="C16" s="57">
        <v>0</v>
      </c>
      <c r="D16" s="57">
        <v>233.42599999999999</v>
      </c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246</v>
      </c>
    </row>
    <row r="17" spans="1:49" s="35" customFormat="1" ht="13">
      <c r="A17" s="35" t="s">
        <v>130</v>
      </c>
      <c r="B17" s="57">
        <f>10^(B14-B15/(B16+TC.))</f>
        <v>9.4024636752755228E-2</v>
      </c>
      <c r="C17" s="57">
        <f>10^(C14-C15/(C16+TC.))</f>
        <v>1</v>
      </c>
      <c r="D17" s="57">
        <f>10^(D14-D15/(D16+TC.))</f>
        <v>23.686413553095228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131</v>
      </c>
      <c r="B18" s="191">
        <f>B22*B23*B17/$B$10</f>
        <v>9.2805279249345049E-2</v>
      </c>
      <c r="C18" s="191">
        <f>C22*C23*C17/$B$10</f>
        <v>0.90719472075065499</v>
      </c>
      <c r="D18" s="191">
        <f>D22*D23*D17/$B$10</f>
        <v>5.5550273575699908E-18</v>
      </c>
      <c r="E18" s="191">
        <f>E22*E23*E17/$B$10</f>
        <v>1.2634364705066091E-20</v>
      </c>
      <c r="F18" s="191">
        <f>F22*F23*F17/$B$10</f>
        <v>6.1599527579020079E-21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238</v>
      </c>
    </row>
    <row r="19" spans="1:49" s="35" customFormat="1" ht="11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1">
      <c r="B20" s="36">
        <v>1</v>
      </c>
      <c r="C20" s="36">
        <v>2</v>
      </c>
      <c r="D20" s="36">
        <v>3</v>
      </c>
      <c r="E20" s="36" t="s">
        <v>125</v>
      </c>
      <c r="F20" s="36" t="s">
        <v>126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67</v>
      </c>
    </row>
    <row r="21" spans="1:49" s="72" customFormat="1" ht="13">
      <c r="A21" s="35"/>
      <c r="B21" s="53" t="s">
        <v>168</v>
      </c>
      <c r="C21" s="53" t="s">
        <v>349</v>
      </c>
      <c r="D21" s="53" t="s">
        <v>81</v>
      </c>
      <c r="E21" s="54" t="s">
        <v>347</v>
      </c>
      <c r="F21" s="53" t="s">
        <v>346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69</v>
      </c>
    </row>
    <row r="22" spans="1:49" s="72" customFormat="1" ht="15">
      <c r="A22" s="72" t="s">
        <v>85</v>
      </c>
      <c r="B22" s="55">
        <v>0.30199999999999999</v>
      </c>
      <c r="C22" s="55">
        <v>0.69799999999999995</v>
      </c>
      <c r="D22" s="55">
        <v>9.9999999999999995E-21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134</v>
      </c>
      <c r="L22" s="36"/>
      <c r="M22"/>
      <c r="N22"/>
      <c r="O22"/>
      <c r="P22"/>
      <c r="Q22" s="80" t="s">
        <v>135</v>
      </c>
      <c r="R22" s="36"/>
      <c r="S22" s="36"/>
      <c r="T22" s="36"/>
      <c r="U22"/>
      <c r="V22" s="35"/>
      <c r="W22" s="81" t="s">
        <v>136</v>
      </c>
      <c r="X22" s="36"/>
      <c r="Y22" s="35"/>
      <c r="Z22" s="35"/>
      <c r="AA22"/>
      <c r="AB22" s="36"/>
      <c r="AC22" s="81" t="s">
        <v>137</v>
      </c>
      <c r="AD22" s="35"/>
      <c r="AE22" s="35"/>
      <c r="AF22" s="35"/>
      <c r="AG22" s="36"/>
      <c r="AH22" s="36"/>
      <c r="AI22" s="81" t="s">
        <v>138</v>
      </c>
      <c r="AJ22" s="35"/>
      <c r="AK22" s="35"/>
      <c r="AM22"/>
      <c r="AO22" s="72" t="s">
        <v>139</v>
      </c>
      <c r="AS22" s="35"/>
      <c r="AT22" s="35" t="s">
        <v>70</v>
      </c>
    </row>
    <row r="23" spans="1:49" s="72" customFormat="1" ht="13">
      <c r="A23" s="82" t="s">
        <v>140</v>
      </c>
      <c r="B23" s="56">
        <f>EXP(B51-B50+B49)</f>
        <v>3.182145795443132</v>
      </c>
      <c r="C23" s="56">
        <f>EXP(C51-C50+C49)</f>
        <v>1.2654386378804376</v>
      </c>
      <c r="D23" s="56">
        <f>EXP(D51-D50+D49)</f>
        <v>22.834047156431616</v>
      </c>
      <c r="E23" s="56">
        <f>EXP(E51-E50+E49)</f>
        <v>1.2301254628383125</v>
      </c>
      <c r="F23" s="56">
        <f>EXP(F51-F50+F49)</f>
        <v>0.59975431406835489</v>
      </c>
      <c r="G23" s="82" t="s">
        <v>141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142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142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142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142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142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142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1">
      <c r="A24" s="35" t="str">
        <f>'aij-UNIFAC (LLE)'!B10</f>
        <v>CH3</v>
      </c>
      <c r="B24" s="57">
        <v>1</v>
      </c>
      <c r="C24" s="57"/>
      <c r="D24" s="57"/>
      <c r="E24" s="57">
        <v>1</v>
      </c>
      <c r="F24" s="57">
        <v>1</v>
      </c>
      <c r="G24" s="83">
        <f t="array" ref="G24">SUM(B24:F24*$B$22:$F$22)</f>
        <v>0.30199999999999999</v>
      </c>
      <c r="H24" s="36" t="str">
        <f t="shared" ref="H24:H41" si="0">A24</f>
        <v>CH3</v>
      </c>
      <c r="I24" s="84">
        <f t="shared" ref="I24:M35" si="1">B24/B$43</f>
        <v>0.5</v>
      </c>
      <c r="J24" s="85">
        <f t="shared" si="1"/>
        <v>0</v>
      </c>
      <c r="K24" s="85">
        <f t="shared" si="1"/>
        <v>0</v>
      </c>
      <c r="L24" s="85">
        <f t="shared" si="1"/>
        <v>0.14285714285714285</v>
      </c>
      <c r="M24" s="85">
        <f t="shared" si="1"/>
        <v>1</v>
      </c>
      <c r="N24" s="86">
        <f t="shared" ref="N24:N35" si="2">G24/$G$42</f>
        <v>6.3021702838063437E-2</v>
      </c>
      <c r="O24" s="84">
        <f>I24*'aij-UNIFAC (LLE)'!$D10/I$42</f>
        <v>0.4140625</v>
      </c>
      <c r="P24" s="85">
        <f>J24*'aij-UNIFAC (LLE)'!$D10/J$42</f>
        <v>0</v>
      </c>
      <c r="Q24" s="85">
        <f>K24*'aij-UNIFAC (LLE)'!$D10/K$42</f>
        <v>0</v>
      </c>
      <c r="R24" s="85">
        <f>L24*'aij-UNIFAC (LLE)'!$D10/L$42</f>
        <v>0.24173318129988591</v>
      </c>
      <c r="S24" s="85">
        <f>M24*'aij-UNIFAC (LLE)'!$D10/M$42</f>
        <v>1</v>
      </c>
      <c r="T24" s="87">
        <f>N24*'aij-UNIFAC (LLE)'!$D10/N$42</f>
        <v>8.8921728212621037E-2</v>
      </c>
      <c r="U24" s="84">
        <f t="array" ref="U24:Z41">MMULT(TRANSPOSE(tauL),O24:T41)</f>
        <v>0.60895048054132939</v>
      </c>
      <c r="V24" s="88">
        <v>1</v>
      </c>
      <c r="W24" s="85">
        <v>0.31713896453518281</v>
      </c>
      <c r="X24" s="85">
        <v>0.71158633622681877</v>
      </c>
      <c r="Y24" s="88">
        <v>1</v>
      </c>
      <c r="Z24" s="89">
        <v>0.91602040975219923</v>
      </c>
      <c r="AA24" s="90">
        <f t="shared" ref="AA24:AF39" si="3">O24/U24</f>
        <v>0.67996087240446412</v>
      </c>
      <c r="AB24" s="91">
        <f t="shared" si="3"/>
        <v>0</v>
      </c>
      <c r="AC24" s="91">
        <f t="shared" si="3"/>
        <v>0</v>
      </c>
      <c r="AD24" s="91">
        <f t="shared" si="3"/>
        <v>0.33971026282161954</v>
      </c>
      <c r="AE24" s="91">
        <f t="shared" si="3"/>
        <v>1</v>
      </c>
      <c r="AF24" s="86">
        <f t="shared" si="3"/>
        <v>9.7073959560219886E-2</v>
      </c>
      <c r="AG24" s="84">
        <f t="array" ref="AG24:AL41">MMULT(tauL,AA24:AF41)</f>
        <v>0.78639870950745938</v>
      </c>
      <c r="AH24" s="85">
        <v>1</v>
      </c>
      <c r="AI24" s="88">
        <v>1.2775559273734912E-2</v>
      </c>
      <c r="AJ24" s="88">
        <v>1.3378907262909103</v>
      </c>
      <c r="AK24" s="88">
        <v>1</v>
      </c>
      <c r="AL24" s="89">
        <v>1.0182667278259858</v>
      </c>
      <c r="AM24" s="92">
        <f>'aij-UNIFAC (LLE)'!$D10*(1-LN(U24)-AG24)</f>
        <v>0.60175743590360775</v>
      </c>
      <c r="AN24" s="93">
        <f>'aij-UNIFAC (LLE)'!$D10*(1-LN(V24)-AH24)</f>
        <v>0</v>
      </c>
      <c r="AO24" s="93">
        <f>'aij-UNIFAC (LLE)'!$D10*(1-LN(W24)-AI24)</f>
        <v>1.8110224384308249</v>
      </c>
      <c r="AP24" s="93">
        <f>'aij-UNIFAC (LLE)'!$D10*(1-LN(X24)-AJ24)</f>
        <v>2.0078931822006753E-3</v>
      </c>
      <c r="AQ24" s="93">
        <f>'aij-UNIFAC (LLE)'!$D10*(1-LN(Y24)-AK24)</f>
        <v>0</v>
      </c>
      <c r="AR24" s="94">
        <f>'aij-UNIFAC (LLE)'!$D10*(1-LN(Z24)-AL24)</f>
        <v>5.8893519729493402E-2</v>
      </c>
      <c r="AS24" s="35"/>
      <c r="AT24" s="137" t="s">
        <v>232</v>
      </c>
      <c r="AU24" s="198"/>
      <c r="AV24" s="199"/>
      <c r="AW24" s="198"/>
    </row>
    <row r="25" spans="1:49" s="72" customFormat="1" ht="11">
      <c r="A25" s="35" t="str">
        <f>'aij-UNIFAC (LLE)'!B11</f>
        <v>CH2</v>
      </c>
      <c r="B25" s="57"/>
      <c r="C25" s="57">
        <v>6</v>
      </c>
      <c r="D25" s="57"/>
      <c r="E25" s="57"/>
      <c r="F25" s="57"/>
      <c r="G25" s="83">
        <f t="array" ref="G25">SUM(B25:F25*$B$22:$F$22)</f>
        <v>4.1879999999999997</v>
      </c>
      <c r="H25" s="36" t="str">
        <f t="shared" si="0"/>
        <v>CH2</v>
      </c>
      <c r="I25" s="95">
        <f t="shared" si="1"/>
        <v>0</v>
      </c>
      <c r="J25" s="96">
        <f t="shared" si="1"/>
        <v>1</v>
      </c>
      <c r="K25" s="96">
        <f t="shared" si="1"/>
        <v>0</v>
      </c>
      <c r="L25" s="96">
        <f t="shared" si="1"/>
        <v>0</v>
      </c>
      <c r="M25" s="96">
        <f t="shared" si="1"/>
        <v>0</v>
      </c>
      <c r="N25" s="97">
        <f t="shared" si="2"/>
        <v>0.87395659432387307</v>
      </c>
      <c r="O25" s="95">
        <f>I25*'aij-UNIFAC (LLE)'!$D11/I$42</f>
        <v>0</v>
      </c>
      <c r="P25" s="96">
        <f>J25*'aij-UNIFAC (LLE)'!$D11/J$42</f>
        <v>1</v>
      </c>
      <c r="Q25" s="96">
        <f>K25*'aij-UNIFAC (LLE)'!$D11/K$42</f>
        <v>0</v>
      </c>
      <c r="R25" s="96">
        <f>L25*'aij-UNIFAC (LLE)'!$D11/L$42</f>
        <v>0</v>
      </c>
      <c r="S25" s="96">
        <f>M25*'aij-UNIFAC (LLE)'!$D11/M$42</f>
        <v>0</v>
      </c>
      <c r="T25" s="98">
        <f>N25*'aij-UNIFAC (LLE)'!$D11/N$42</f>
        <v>0.78524563752423593</v>
      </c>
      <c r="U25" s="95">
        <v>0.60895048054132939</v>
      </c>
      <c r="V25" s="99">
        <v>1</v>
      </c>
      <c r="W25" s="96">
        <v>0.31713896453518281</v>
      </c>
      <c r="X25" s="96">
        <v>0.71158633622681877</v>
      </c>
      <c r="Y25" s="99">
        <v>1</v>
      </c>
      <c r="Z25" s="100">
        <v>0.91602040975219923</v>
      </c>
      <c r="AA25" s="101">
        <f t="shared" si="3"/>
        <v>0</v>
      </c>
      <c r="AB25" s="102">
        <f t="shared" si="3"/>
        <v>1</v>
      </c>
      <c r="AC25" s="102">
        <f t="shared" si="3"/>
        <v>0</v>
      </c>
      <c r="AD25" s="102">
        <f t="shared" si="3"/>
        <v>0</v>
      </c>
      <c r="AE25" s="102">
        <f t="shared" si="3"/>
        <v>0</v>
      </c>
      <c r="AF25" s="97">
        <f t="shared" si="3"/>
        <v>0.85723596239155808</v>
      </c>
      <c r="AG25" s="95">
        <v>0.78639870950745938</v>
      </c>
      <c r="AH25" s="96">
        <v>1</v>
      </c>
      <c r="AI25" s="99">
        <v>1.2775559273734912E-2</v>
      </c>
      <c r="AJ25" s="99">
        <v>1.3378907262909103</v>
      </c>
      <c r="AK25" s="99">
        <v>1</v>
      </c>
      <c r="AL25" s="100">
        <v>1.0182667278259858</v>
      </c>
      <c r="AM25" s="103">
        <f>'aij-UNIFAC (LLE)'!$D11*(1-LN(U25)-AG25)</f>
        <v>0.38319459361786345</v>
      </c>
      <c r="AN25" s="104">
        <f>'aij-UNIFAC (LLE)'!$D11*(1-LN(V25)-AH25)</f>
        <v>0</v>
      </c>
      <c r="AO25" s="104">
        <f>'aij-UNIFAC (LLE)'!$D11*(1-LN(W25)-AI25)</f>
        <v>1.1532454206988745</v>
      </c>
      <c r="AP25" s="104">
        <f>'aij-UNIFAC (LLE)'!$D11*(1-LN(X25)-AJ25)</f>
        <v>1.278611224514581E-3</v>
      </c>
      <c r="AQ25" s="104">
        <f>'aij-UNIFAC (LLE)'!$D11*(1-LN(Y25)-AK25)</f>
        <v>0</v>
      </c>
      <c r="AR25" s="105">
        <f>'aij-UNIFAC (LLE)'!$D11*(1-LN(Z25)-AL25)</f>
        <v>3.7502948884347222E-2</v>
      </c>
      <c r="AS25" s="35"/>
      <c r="AT25" s="137" t="s">
        <v>233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0.60895048054132939</v>
      </c>
      <c r="V26" s="99">
        <v>1</v>
      </c>
      <c r="W26" s="99">
        <v>0.31713896453518281</v>
      </c>
      <c r="X26" s="99">
        <v>0.71158633622681877</v>
      </c>
      <c r="Y26" s="99">
        <v>1</v>
      </c>
      <c r="Z26" s="100">
        <v>0.91602040975219923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0.78639870950745938</v>
      </c>
      <c r="AH26" s="99">
        <v>1</v>
      </c>
      <c r="AI26" s="99">
        <v>1.2775559273734912E-2</v>
      </c>
      <c r="AJ26" s="99">
        <v>1.3378907262909103</v>
      </c>
      <c r="AK26" s="99">
        <v>1</v>
      </c>
      <c r="AL26" s="100">
        <v>1.0182667278259858</v>
      </c>
      <c r="AM26" s="103">
        <f>'aij-UNIFAC (LLE)'!$D12*(1-LN(U26)-AG26)</f>
        <v>0.16179327286087569</v>
      </c>
      <c r="AN26" s="104">
        <f>'aij-UNIFAC (LLE)'!$D12*(1-LN(V26)-AH26)</f>
        <v>0</v>
      </c>
      <c r="AO26" s="104">
        <f>'aij-UNIFAC (LLE)'!$D12*(1-LN(W26)-AI26)</f>
        <v>0.48692584429508029</v>
      </c>
      <c r="AP26" s="104">
        <f>'aij-UNIFAC (LLE)'!$D12*(1-LN(X26)-AJ26)</f>
        <v>5.3985807257282302E-4</v>
      </c>
      <c r="AQ26" s="104">
        <f>'aij-UNIFAC (LLE)'!$D12*(1-LN(Y26)-AK26)</f>
        <v>0</v>
      </c>
      <c r="AR26" s="105">
        <f>'aij-UNIFAC (LLE)'!$D12*(1-LN(Z26)-AL26)</f>
        <v>1.583457841783549E-2</v>
      </c>
      <c r="AS26" s="35"/>
      <c r="AT26" s="190" t="s">
        <v>234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/>
      <c r="C27" s="57"/>
      <c r="D27" s="57"/>
      <c r="E27" s="57">
        <v>5</v>
      </c>
      <c r="F27" s="57"/>
      <c r="G27" s="83">
        <f t="array" ref="G27">SUM(B27:F27*$B$22:$F$22)</f>
        <v>4.9999999999999999E-20</v>
      </c>
      <c r="H27" s="36" t="str">
        <f t="shared" si="0"/>
        <v>ACH</v>
      </c>
      <c r="I27" s="95">
        <f t="shared" si="1"/>
        <v>0</v>
      </c>
      <c r="J27" s="96">
        <f t="shared" si="1"/>
        <v>0</v>
      </c>
      <c r="K27" s="96">
        <f t="shared" si="1"/>
        <v>0</v>
      </c>
      <c r="L27" s="96">
        <f t="shared" si="1"/>
        <v>0.7142857142857143</v>
      </c>
      <c r="M27" s="96">
        <f t="shared" si="1"/>
        <v>0</v>
      </c>
      <c r="N27" s="97">
        <f t="shared" si="2"/>
        <v>1.0434056761268781E-20</v>
      </c>
      <c r="O27" s="95">
        <f>I27*'aij-UNIFAC (LLE)'!$D13/I$42</f>
        <v>0</v>
      </c>
      <c r="P27" s="96">
        <f>J27*'aij-UNIFAC (LLE)'!$D13/J$42</f>
        <v>0</v>
      </c>
      <c r="Q27" s="96">
        <f>K27*'aij-UNIFAC (LLE)'!$D13/K$42</f>
        <v>0</v>
      </c>
      <c r="R27" s="96">
        <f>L27*'aij-UNIFAC (LLE)'!$D13/L$42</f>
        <v>0.5701254275940707</v>
      </c>
      <c r="S27" s="96">
        <f>M27*'aij-UNIFAC (LLE)'!$D13/M$42</f>
        <v>0</v>
      </c>
      <c r="T27" s="98">
        <f>N27*'aij-UNIFAC (LLE)'!$D13/N$42</f>
        <v>6.9444058644118638E-21</v>
      </c>
      <c r="U27" s="95">
        <v>1.2128570378099255</v>
      </c>
      <c r="V27" s="96">
        <v>1.4696747042862897</v>
      </c>
      <c r="W27" s="96">
        <v>0.2863967113010697</v>
      </c>
      <c r="X27" s="99">
        <v>1.2332293994061172</v>
      </c>
      <c r="Y27" s="99">
        <v>1.4696747042862897</v>
      </c>
      <c r="Z27" s="100">
        <v>1.4145219900496444</v>
      </c>
      <c r="AA27" s="101">
        <f t="shared" si="3"/>
        <v>0</v>
      </c>
      <c r="AB27" s="102">
        <f t="shared" si="3"/>
        <v>0</v>
      </c>
      <c r="AC27" s="102">
        <f t="shared" si="3"/>
        <v>0</v>
      </c>
      <c r="AD27" s="102">
        <f t="shared" si="3"/>
        <v>0.46230281881750823</v>
      </c>
      <c r="AE27" s="102">
        <f t="shared" si="3"/>
        <v>0</v>
      </c>
      <c r="AF27" s="97">
        <f t="shared" si="3"/>
        <v>4.9093657880625392E-21</v>
      </c>
      <c r="AG27" s="95">
        <v>0.48951372720119413</v>
      </c>
      <c r="AH27" s="99">
        <v>0.5916124096015547</v>
      </c>
      <c r="AI27" s="99">
        <v>5.5997864440543062E-2</v>
      </c>
      <c r="AJ27" s="99">
        <v>0.78677617042954884</v>
      </c>
      <c r="AK27" s="99">
        <v>0.5916124096015547</v>
      </c>
      <c r="AL27" s="100">
        <v>0.61700298550309973</v>
      </c>
      <c r="AM27" s="103">
        <f>'aij-UNIFAC (LLE)'!$D13*(1-LN(U27)-AG27)</f>
        <v>0.12700300325689434</v>
      </c>
      <c r="AN27" s="104">
        <f>'aij-UNIFAC (LLE)'!$D13*(1-LN(V27)-AH27)</f>
        <v>9.3386014788481297E-3</v>
      </c>
      <c r="AO27" s="104">
        <f>'aij-UNIFAC (LLE)'!$D13*(1-LN(W27)-AI27)</f>
        <v>0.87775178496334361</v>
      </c>
      <c r="AP27" s="104">
        <f>'aij-UNIFAC (LLE)'!$D13*(1-LN(X27)-AJ27)</f>
        <v>1.4350291564633189E-3</v>
      </c>
      <c r="AQ27" s="104">
        <f>'aij-UNIFAC (LLE)'!$D13*(1-LN(Y27)-AK27)</f>
        <v>9.3386014788481297E-3</v>
      </c>
      <c r="AR27" s="105">
        <f>'aij-UNIFAC (LLE)'!$D13*(1-LN(Z27)-AL27)</f>
        <v>1.4482142677513866E-2</v>
      </c>
      <c r="AS27" s="35"/>
      <c r="AT27" s="190" t="s">
        <v>235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>
        <v>1</v>
      </c>
      <c r="F28" s="57"/>
      <c r="G28" s="83">
        <f t="array" ref="G28">SUM(B28:F28*$B$22:$F$22)</f>
        <v>9.9999999999999995E-21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0.14285714285714285</v>
      </c>
      <c r="M28" s="96">
        <f t="shared" si="1"/>
        <v>0</v>
      </c>
      <c r="N28" s="97">
        <f t="shared" si="2"/>
        <v>2.0868113522537562E-21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0.18814139110604328</v>
      </c>
      <c r="S28" s="96">
        <f>M28*'aij-UNIFAC (LLE)'!$D14/M$42</f>
        <v>0</v>
      </c>
      <c r="T28" s="98">
        <f>N28*'aij-UNIFAC (LLE)'!$D14/N$42</f>
        <v>2.2916539352559148E-21</v>
      </c>
      <c r="U28" s="95">
        <v>1.1938238451387881</v>
      </c>
      <c r="V28" s="96">
        <v>1.4741177886932793</v>
      </c>
      <c r="W28" s="96">
        <v>0.50499176955805858</v>
      </c>
      <c r="X28" s="99">
        <v>0.87010606614215424</v>
      </c>
      <c r="Y28" s="99">
        <v>1.4741177886932793</v>
      </c>
      <c r="Z28" s="100">
        <v>1.4139234415394166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0.21622811106261788</v>
      </c>
      <c r="AE28" s="102">
        <f t="shared" si="3"/>
        <v>0</v>
      </c>
      <c r="AF28" s="97">
        <f t="shared" si="3"/>
        <v>1.6207765342378542E-21</v>
      </c>
      <c r="AG28" s="95">
        <v>0.47908537538678631</v>
      </c>
      <c r="AH28" s="99">
        <v>0.70457583072813879</v>
      </c>
      <c r="AI28" s="99">
        <v>5.0639268591451167E-9</v>
      </c>
      <c r="AJ28" s="99">
        <v>1.2119944291609255</v>
      </c>
      <c r="AK28" s="99">
        <v>0.70457583072813879</v>
      </c>
      <c r="AL28" s="100">
        <v>0.67238453456021385</v>
      </c>
      <c r="AM28" s="103">
        <f>'aij-UNIFAC (LLE)'!$D14*(1-LN(U28)-AG28)</f>
        <v>0.2268770815816053</v>
      </c>
      <c r="AN28" s="104">
        <f>'aij-UNIFAC (LLE)'!$D14*(1-LN(V28)-AH28)</f>
        <v>-6.1139451265646308E-2</v>
      </c>
      <c r="AO28" s="104">
        <f>'aij-UNIFAC (LLE)'!$D14*(1-LN(W28)-AI28)</f>
        <v>1.1109206741691282</v>
      </c>
      <c r="AP28" s="104">
        <f>'aij-UNIFAC (LLE)'!$D14*(1-LN(X28)-AJ28)</f>
        <v>-4.8083817871517859E-2</v>
      </c>
      <c r="AQ28" s="104">
        <f>'aij-UNIFAC (LLE)'!$D14*(1-LN(Y28)-AK28)</f>
        <v>-6.1139451265646308E-2</v>
      </c>
      <c r="AR28" s="105">
        <f>'aij-UNIFAC (LLE)'!$D14*(1-LN(Z28)-AL28)</f>
        <v>-1.2376951874711216E-2</v>
      </c>
      <c r="AS28" s="35"/>
      <c r="AT28" s="190" t="s">
        <v>236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1.1938238451387881</v>
      </c>
      <c r="V29" s="96">
        <v>1.4741177886932793</v>
      </c>
      <c r="W29" s="96">
        <v>0.50499176955805858</v>
      </c>
      <c r="X29" s="99">
        <v>0.87010606614215424</v>
      </c>
      <c r="Y29" s="99">
        <v>1.4741177886932793</v>
      </c>
      <c r="Z29" s="100">
        <v>1.4139234415394166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0.47908537538678631</v>
      </c>
      <c r="AH29" s="99">
        <v>0.70457583072813879</v>
      </c>
      <c r="AI29" s="99">
        <v>5.0639268591451167E-9</v>
      </c>
      <c r="AJ29" s="99">
        <v>1.2119944291609255</v>
      </c>
      <c r="AK29" s="99">
        <v>0.70457583072813879</v>
      </c>
      <c r="AL29" s="100">
        <v>0.67238453456021385</v>
      </c>
      <c r="AM29" s="103">
        <f>'aij-UNIFAC (LLE)'!$D15*(1-LN(U29)-AG29)</f>
        <v>0.33275305298635444</v>
      </c>
      <c r="AN29" s="104">
        <f>'aij-UNIFAC (LLE)'!$D15*(1-LN(V29)-AH29)</f>
        <v>-8.9671195189614583E-2</v>
      </c>
      <c r="AO29" s="104">
        <f>'aij-UNIFAC (LLE)'!$D15*(1-LN(W29)-AI29)</f>
        <v>1.6293503221147212</v>
      </c>
      <c r="AP29" s="104">
        <f>'aij-UNIFAC (LLE)'!$D15*(1-LN(X29)-AJ29)</f>
        <v>-7.0522932878226183E-2</v>
      </c>
      <c r="AQ29" s="104">
        <f>'aij-UNIFAC (LLE)'!$D15*(1-LN(Y29)-AK29)</f>
        <v>-8.9671195189614583E-2</v>
      </c>
      <c r="AR29" s="105">
        <f>'aij-UNIFAC (LLE)'!$D15*(1-LN(Z29)-AL29)</f>
        <v>-1.8152862749576448E-2</v>
      </c>
      <c r="AS29" s="35"/>
      <c r="AT29" s="190" t="s">
        <v>237</v>
      </c>
      <c r="AU29" s="198"/>
      <c r="AV29" s="198"/>
      <c r="AW29" s="198"/>
    </row>
    <row r="30" spans="1:49" s="72" customFormat="1" ht="11">
      <c r="A30" s="35" t="str">
        <f>'aij-UNIFAC (LLE)'!B16</f>
        <v>OH</v>
      </c>
      <c r="B30" s="57">
        <v>1</v>
      </c>
      <c r="C30" s="57"/>
      <c r="D30" s="57"/>
      <c r="E30" s="57"/>
      <c r="F30" s="57"/>
      <c r="G30" s="83">
        <f t="array" ref="G30">SUM(B30:F30*$B$22:$F$22)</f>
        <v>0.30199999999999999</v>
      </c>
      <c r="H30" s="36" t="str">
        <f t="shared" si="0"/>
        <v>OH</v>
      </c>
      <c r="I30" s="95">
        <f t="shared" si="1"/>
        <v>0.5</v>
      </c>
      <c r="J30" s="96">
        <f t="shared" si="1"/>
        <v>0</v>
      </c>
      <c r="K30" s="96">
        <f t="shared" si="1"/>
        <v>0</v>
      </c>
      <c r="L30" s="96">
        <f t="shared" si="1"/>
        <v>0</v>
      </c>
      <c r="M30" s="96">
        <f t="shared" si="1"/>
        <v>0</v>
      </c>
      <c r="N30" s="97">
        <f t="shared" si="2"/>
        <v>6.3021702838063437E-2</v>
      </c>
      <c r="O30" s="95">
        <f>I30*'aij-UNIFAC (LLE)'!$D16/I$42</f>
        <v>0.5859375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</v>
      </c>
      <c r="S30" s="96">
        <f>M30*'aij-UNIFAC (LLE)'!$D16/M$42</f>
        <v>0</v>
      </c>
      <c r="T30" s="98">
        <f>N30*'aij-UNIFAC (LLE)'!$D16/N$42</f>
        <v>0.12583263426314295</v>
      </c>
      <c r="U30" s="95">
        <v>0.63359394770607025</v>
      </c>
      <c r="V30" s="96">
        <v>0.11509481710145264</v>
      </c>
      <c r="W30" s="96">
        <v>1.5076190398931841</v>
      </c>
      <c r="X30" s="99">
        <v>8.1605881702306565E-2</v>
      </c>
      <c r="Y30" s="99">
        <v>0.11509481710145264</v>
      </c>
      <c r="Z30" s="100">
        <v>0.22644476733868515</v>
      </c>
      <c r="AA30" s="101">
        <f t="shared" si="3"/>
        <v>0.92478392844721669</v>
      </c>
      <c r="AB30" s="102">
        <f t="shared" si="3"/>
        <v>0</v>
      </c>
      <c r="AC30" s="102">
        <f t="shared" si="3"/>
        <v>0</v>
      </c>
      <c r="AD30" s="102">
        <f t="shared" si="3"/>
        <v>0</v>
      </c>
      <c r="AE30" s="102">
        <f t="shared" si="3"/>
        <v>0</v>
      </c>
      <c r="AF30" s="97">
        <f t="shared" si="3"/>
        <v>0.55568797522682289</v>
      </c>
      <c r="AG30" s="95">
        <v>1.1509449119480619</v>
      </c>
      <c r="AH30" s="99">
        <v>0.33260882012386883</v>
      </c>
      <c r="AI30" s="99">
        <v>0.90813621767355412</v>
      </c>
      <c r="AJ30" s="99">
        <v>0.8051060929079803</v>
      </c>
      <c r="AK30" s="99">
        <v>0.33260882012386883</v>
      </c>
      <c r="AL30" s="100">
        <v>0.8730998723997051</v>
      </c>
      <c r="AM30" s="103">
        <f>'aij-UNIFAC (LLE)'!$D16*(1-LN(U30)-AG30)</f>
        <v>0.36648249457327553</v>
      </c>
      <c r="AN30" s="104">
        <f>'aij-UNIFAC (LLE)'!$D16*(1-LN(V30)-AH30)</f>
        <v>3.3952682084054411</v>
      </c>
      <c r="AO30" s="104">
        <f>'aij-UNIFAC (LLE)'!$D16*(1-LN(W30)-AI30)</f>
        <v>-0.38240139513414123</v>
      </c>
      <c r="AP30" s="104">
        <f>'aij-UNIFAC (LLE)'!$D16*(1-LN(X30)-AJ30)</f>
        <v>3.2408974164198976</v>
      </c>
      <c r="AQ30" s="104">
        <f>'aij-UNIFAC (LLE)'!$D16*(1-LN(Y30)-AK30)</f>
        <v>3.3952682084054411</v>
      </c>
      <c r="AR30" s="105">
        <f>'aij-UNIFAC (LLE)'!$D16*(1-LN(Z30)-AL30)</f>
        <v>1.9345852130467331</v>
      </c>
      <c r="AS30" s="35"/>
      <c r="AT30" s="35"/>
    </row>
    <row r="31" spans="1:49" s="72" customFormat="1" ht="11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0.16712744220931303</v>
      </c>
      <c r="V31" s="96">
        <v>0.35271570801530017</v>
      </c>
      <c r="W31" s="96">
        <v>0.7033952414758935</v>
      </c>
      <c r="X31" s="99">
        <v>0.17648516280611629</v>
      </c>
      <c r="Y31" s="99">
        <v>0.35271570801530017</v>
      </c>
      <c r="Z31" s="100">
        <v>0.31285981830915277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3.336463236847778</v>
      </c>
      <c r="AH31" s="99">
        <v>1.5564300475353767</v>
      </c>
      <c r="AI31" s="99">
        <v>0.98043869766926783</v>
      </c>
      <c r="AJ31" s="99">
        <v>2.1465046767643616</v>
      </c>
      <c r="AK31" s="99">
        <v>1.5564300475353767</v>
      </c>
      <c r="AL31" s="100">
        <v>2.8542218145500851</v>
      </c>
      <c r="AM31" s="103">
        <f>'aij-UNIFAC (LLE)'!$D17*(1-LN(U31)-AG31)</f>
        <v>-1.7102794299278556</v>
      </c>
      <c r="AN31" s="104">
        <f>'aij-UNIFAC (LLE)'!$D17*(1-LN(V31)-AH31)</f>
        <v>1.5172107706408557</v>
      </c>
      <c r="AO31" s="104">
        <f>'aij-UNIFAC (LLE)'!$D17*(1-LN(W31)-AI31)</f>
        <v>1.1602461846509207</v>
      </c>
      <c r="AP31" s="104">
        <f>'aij-UNIFAC (LLE)'!$D17*(1-LN(X31)-AJ31)</f>
        <v>1.836955088705291</v>
      </c>
      <c r="AQ31" s="104">
        <f>'aij-UNIFAC (LLE)'!$D17*(1-LN(Y31)-AK31)</f>
        <v>1.5172107706408557</v>
      </c>
      <c r="AR31" s="105">
        <f>'aij-UNIFAC (LLE)'!$D17*(1-LN(Z31)-AL31)</f>
        <v>-2.1625007812381241</v>
      </c>
      <c r="AS31" s="35"/>
      <c r="AT31" s="35"/>
    </row>
    <row r="32" spans="1:49" s="72" customFormat="1" ht="11">
      <c r="A32" s="35" t="str">
        <f>'aij-UNIFAC (LLE)'!B18</f>
        <v>H2O</v>
      </c>
      <c r="B32" s="57"/>
      <c r="C32" s="57"/>
      <c r="D32" s="57">
        <v>1</v>
      </c>
      <c r="E32" s="57"/>
      <c r="F32" s="57"/>
      <c r="G32" s="83">
        <f t="array" ref="G32">SUM(B32:F32*$B$22:$F$22)</f>
        <v>9.9999999999999995E-21</v>
      </c>
      <c r="H32" s="36" t="str">
        <f t="shared" si="0"/>
        <v>H2O</v>
      </c>
      <c r="I32" s="95">
        <f t="shared" si="1"/>
        <v>0</v>
      </c>
      <c r="J32" s="96">
        <f t="shared" si="1"/>
        <v>0</v>
      </c>
      <c r="K32" s="96">
        <f t="shared" si="1"/>
        <v>1</v>
      </c>
      <c r="L32" s="96">
        <f t="shared" si="1"/>
        <v>0</v>
      </c>
      <c r="M32" s="96">
        <f t="shared" si="1"/>
        <v>0</v>
      </c>
      <c r="N32" s="97">
        <f t="shared" si="2"/>
        <v>2.0868113522537562E-21</v>
      </c>
      <c r="O32" s="95">
        <f>I32*'aij-UNIFAC (LLE)'!$D18/I$42</f>
        <v>0</v>
      </c>
      <c r="P32" s="96">
        <f>J32*'aij-UNIFAC (LLE)'!$D18/J$42</f>
        <v>0</v>
      </c>
      <c r="Q32" s="96">
        <f>K32*'aij-UNIFAC (LLE)'!$D18/K$42</f>
        <v>1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4.8610841050883042E-21</v>
      </c>
      <c r="U32" s="95">
        <v>0.53740094505487901</v>
      </c>
      <c r="V32" s="96">
        <v>1.2775559273734912E-2</v>
      </c>
      <c r="W32" s="96">
        <v>1</v>
      </c>
      <c r="X32" s="99">
        <v>3.5014083947378864E-2</v>
      </c>
      <c r="Y32" s="99">
        <v>1.2775559273734912E-2</v>
      </c>
      <c r="Z32" s="100">
        <v>0.12544114953576624</v>
      </c>
      <c r="AA32" s="101">
        <f t="shared" si="3"/>
        <v>0</v>
      </c>
      <c r="AB32" s="102">
        <f t="shared" si="3"/>
        <v>0</v>
      </c>
      <c r="AC32" s="102">
        <f t="shared" si="3"/>
        <v>1</v>
      </c>
      <c r="AD32" s="102">
        <f t="shared" si="3"/>
        <v>0</v>
      </c>
      <c r="AE32" s="102">
        <f t="shared" si="3"/>
        <v>0</v>
      </c>
      <c r="AF32" s="97">
        <f t="shared" si="3"/>
        <v>3.8751909744754802E-20</v>
      </c>
      <c r="AG32" s="95">
        <v>1.6098639453130312</v>
      </c>
      <c r="AH32" s="99">
        <v>0.31713896453518281</v>
      </c>
      <c r="AI32" s="99">
        <v>1</v>
      </c>
      <c r="AJ32" s="99">
        <v>0.34933078436147968</v>
      </c>
      <c r="AK32" s="99">
        <v>0.31713896453518281</v>
      </c>
      <c r="AL32" s="100">
        <v>1.1404146321850881</v>
      </c>
      <c r="AM32" s="103">
        <f>'aij-UNIFAC (LLE)'!$D18*(1-LN(U32)-AG32)</f>
        <v>1.5605630488630416E-2</v>
      </c>
      <c r="AN32" s="104">
        <f>'aij-UNIFAC (LLE)'!$D18*(1-LN(V32)-AH32)</f>
        <v>7.060315360769307</v>
      </c>
      <c r="AO32" s="104">
        <f>'aij-UNIFAC (LLE)'!$D18*(1-LN(W32)-AI32)</f>
        <v>0</v>
      </c>
      <c r="AP32" s="104">
        <f>'aij-UNIFAC (LLE)'!$D18*(1-LN(X32)-AJ32)</f>
        <v>5.6037437618053731</v>
      </c>
      <c r="AQ32" s="104">
        <f>'aij-UNIFAC (LLE)'!$D18*(1-LN(Y32)-AK32)</f>
        <v>7.060315360769307</v>
      </c>
      <c r="AR32" s="105">
        <f>'aij-UNIFAC (LLE)'!$D18*(1-LN(Z32)-AL32)</f>
        <v>2.7097054966914689</v>
      </c>
      <c r="AS32" s="35"/>
      <c r="AT32" s="35" t="s">
        <v>90</v>
      </c>
    </row>
    <row r="33" spans="1:46" s="72" customFormat="1" ht="13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1.1290295707746318</v>
      </c>
      <c r="V33" s="96">
        <v>5.1915552327153427E-4</v>
      </c>
      <c r="W33" s="96">
        <v>0.31491306519734752</v>
      </c>
      <c r="X33" s="99">
        <v>7.2898669156508833E-2</v>
      </c>
      <c r="Y33" s="99">
        <v>5.1915552327153427E-4</v>
      </c>
      <c r="Z33" s="100">
        <v>0.24287169029783709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2.3050749346089559</v>
      </c>
      <c r="AH33" s="99">
        <v>1.7091083918547825</v>
      </c>
      <c r="AI33" s="99">
        <v>7.37914953953213</v>
      </c>
      <c r="AJ33" s="99">
        <v>3.8884972315996258</v>
      </c>
      <c r="AK33" s="99">
        <v>1.7091083918547825</v>
      </c>
      <c r="AL33" s="100">
        <v>2.3177984579483475</v>
      </c>
      <c r="AM33" s="103">
        <f>'aij-UNIFAC (LLE)'!$D19*(1-LN(U33)-AG33)</f>
        <v>-0.96997471977875838</v>
      </c>
      <c r="AN33" s="104">
        <f>'aij-UNIFAC (LLE)'!$D19*(1-LN(V33)-AH33)</f>
        <v>4.6608550944778742</v>
      </c>
      <c r="AO33" s="104">
        <f>'aij-UNIFAC (LLE)'!$D19*(1-LN(W33)-AI33)</f>
        <v>-3.5521097968935873</v>
      </c>
      <c r="AP33" s="104">
        <f>'aij-UNIFAC (LLE)'!$D19*(1-LN(X33)-AJ33)</f>
        <v>-0.18347238829289353</v>
      </c>
      <c r="AQ33" s="104">
        <f>'aij-UNIFAC (LLE)'!$D19*(1-LN(Y33)-AK33)</f>
        <v>4.6608550944778742</v>
      </c>
      <c r="AR33" s="105">
        <f>'aij-UNIFAC (LLE)'!$D19*(1-LN(Z33)-AL33)</f>
        <v>6.6248007616441812E-2</v>
      </c>
      <c r="AS33" s="5"/>
      <c r="AT33" s="35" t="s">
        <v>91</v>
      </c>
    </row>
    <row r="34" spans="1:46" s="72" customFormat="1" ht="13">
      <c r="A34" s="35" t="str">
        <f>'aij-UNIFAC (LLE)'!B20</f>
        <v>CH3CO</v>
      </c>
      <c r="B34" s="57"/>
      <c r="C34" s="57"/>
      <c r="D34" s="57"/>
      <c r="E34" s="57"/>
      <c r="F34" s="57"/>
      <c r="G34" s="83">
        <f t="array" ref="G34">SUM(B34:F34*$B$22:$F$22)</f>
        <v>0</v>
      </c>
      <c r="H34" s="36" t="str">
        <f t="shared" si="0"/>
        <v>CH3CO</v>
      </c>
      <c r="I34" s="95">
        <f t="shared" si="1"/>
        <v>0</v>
      </c>
      <c r="J34" s="96">
        <f t="shared" si="1"/>
        <v>0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</v>
      </c>
      <c r="O34" s="95">
        <f>I34*'aij-UNIFAC (LLE)'!$D20/I$42</f>
        <v>0</v>
      </c>
      <c r="P34" s="96">
        <f>J34*'aij-UNIFAC (LLE)'!$D20/J$42</f>
        <v>0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</v>
      </c>
      <c r="U34" s="95">
        <v>0.55275419191640185</v>
      </c>
      <c r="V34" s="96">
        <v>0.20492562572161924</v>
      </c>
      <c r="W34" s="96">
        <v>1.7792999910100182</v>
      </c>
      <c r="X34" s="99">
        <v>0.13606462881294015</v>
      </c>
      <c r="Y34" s="99">
        <v>0.20492562572161924</v>
      </c>
      <c r="Z34" s="100">
        <v>0.27962332770563886</v>
      </c>
      <c r="AA34" s="101">
        <f t="shared" si="3"/>
        <v>0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</v>
      </c>
      <c r="AG34" s="95">
        <v>0.99204854510469787</v>
      </c>
      <c r="AH34" s="99">
        <v>0.79992017791999159</v>
      </c>
      <c r="AI34" s="99">
        <v>0.11894077096783076</v>
      </c>
      <c r="AJ34" s="99">
        <v>1.1499298261051696</v>
      </c>
      <c r="AK34" s="99">
        <v>0.79992017791999159</v>
      </c>
      <c r="AL34" s="100">
        <v>1.0326484398664588</v>
      </c>
      <c r="AM34" s="103">
        <f>'aij-UNIFAC (LLE)'!$D20*(1-LN(U34)-AG34)</f>
        <v>0.89398047566673389</v>
      </c>
      <c r="AN34" s="104">
        <f>'aij-UNIFAC (LLE)'!$D20*(1-LN(V34)-AH34)</f>
        <v>2.6563597277957203</v>
      </c>
      <c r="AO34" s="104">
        <f>'aij-UNIFAC (LLE)'!$D20*(1-LN(W34)-AI34)</f>
        <v>0.45360073786443261</v>
      </c>
      <c r="AP34" s="104">
        <f>'aij-UNIFAC (LLE)'!$D20*(1-LN(X34)-AJ34)</f>
        <v>2.7449068566197856</v>
      </c>
      <c r="AQ34" s="104">
        <f>'aij-UNIFAC (LLE)'!$D20*(1-LN(Y34)-AK34)</f>
        <v>2.6563597277957203</v>
      </c>
      <c r="AR34" s="105">
        <f>'aij-UNIFAC (LLE)'!$D20*(1-LN(Z34)-AL34)</f>
        <v>1.8475951389213172</v>
      </c>
      <c r="AS34" s="5"/>
      <c r="AT34" s="35" t="s">
        <v>93</v>
      </c>
    </row>
    <row r="35" spans="1:46" s="72" customFormat="1" ht="13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0.24884693024573512</v>
      </c>
      <c r="V35" s="96">
        <v>0.58844606877609129</v>
      </c>
      <c r="W35" s="96">
        <v>3.233516842020296</v>
      </c>
      <c r="X35" s="99">
        <v>0.31454629529400052</v>
      </c>
      <c r="Y35" s="99">
        <v>0.58844606877609129</v>
      </c>
      <c r="Z35" s="100">
        <v>0.515515672283686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4.3455811380913136</v>
      </c>
      <c r="AH35" s="99">
        <v>0.61261303839653836</v>
      </c>
      <c r="AI35" s="99">
        <v>0.12345234716243569</v>
      </c>
      <c r="AJ35" s="99">
        <v>0.90551990326550535</v>
      </c>
      <c r="AK35" s="99">
        <v>0.61261303839653836</v>
      </c>
      <c r="AL35" s="100">
        <v>2.9455133708594854</v>
      </c>
      <c r="AM35" s="103">
        <f>'aij-UNIFAC (LLE)'!$D21*(1-LN(U35)-AG35)</f>
        <v>-1.853021309490134</v>
      </c>
      <c r="AN35" s="104">
        <f>'aij-UNIFAC (LLE)'!$D21*(1-LN(V35)-AH35)</f>
        <v>0.86993879801027796</v>
      </c>
      <c r="AO35" s="104">
        <f>'aij-UNIFAC (LLE)'!$D21*(1-LN(W35)-AI35)</f>
        <v>-0.28157751737898118</v>
      </c>
      <c r="AP35" s="104">
        <f>'aij-UNIFAC (LLE)'!$D21*(1-LN(X35)-AJ35)</f>
        <v>1.186046693973329</v>
      </c>
      <c r="AQ35" s="104">
        <f>'aij-UNIFAC (LLE)'!$D21*(1-LN(Y35)-AK35)</f>
        <v>0.86993879801027796</v>
      </c>
      <c r="AR35" s="105">
        <f>'aij-UNIFAC (LLE)'!$D21*(1-LN(Z35)-AL35)</f>
        <v>-1.2162136555317615</v>
      </c>
      <c r="AS35" s="5"/>
      <c r="AT35" s="35" t="s">
        <v>94</v>
      </c>
    </row>
    <row r="36" spans="1:46" s="72" customFormat="1" ht="13">
      <c r="A36" s="35" t="str">
        <f>'aij-UNIFAC (LLE)'!B22</f>
        <v>COOH</v>
      </c>
      <c r="B36" s="57"/>
      <c r="C36" s="57"/>
      <c r="D36" s="57"/>
      <c r="E36" s="57"/>
      <c r="F36" s="57"/>
      <c r="G36" s="83">
        <f t="array" ref="G36">SUM(B36:F36*$B$22:$F$22)</f>
        <v>0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</v>
      </c>
      <c r="L36" s="96">
        <f t="shared" si="4"/>
        <v>0</v>
      </c>
      <c r="M36" s="96">
        <f t="shared" si="4"/>
        <v>0</v>
      </c>
      <c r="N36" s="97">
        <f t="shared" ref="N36:N41" si="5">G36/$G$42</f>
        <v>0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0</v>
      </c>
      <c r="U36" s="95">
        <v>1.0899272585441822</v>
      </c>
      <c r="V36" s="96">
        <v>0.62653546945671312</v>
      </c>
      <c r="W36" s="96">
        <v>4.7681836853391824</v>
      </c>
      <c r="X36" s="99">
        <v>0.33292844711013897</v>
      </c>
      <c r="Y36" s="99">
        <v>0.62653546945671312</v>
      </c>
      <c r="Z36" s="100">
        <v>0.72605087769869614</v>
      </c>
      <c r="AA36" s="101">
        <f t="shared" si="3"/>
        <v>0</v>
      </c>
      <c r="AB36" s="102">
        <f t="shared" si="3"/>
        <v>0</v>
      </c>
      <c r="AC36" s="102">
        <f t="shared" si="3"/>
        <v>0</v>
      </c>
      <c r="AD36" s="102">
        <f t="shared" si="3"/>
        <v>0</v>
      </c>
      <c r="AE36" s="102">
        <f t="shared" si="3"/>
        <v>0</v>
      </c>
      <c r="AF36" s="97">
        <f t="shared" si="3"/>
        <v>0</v>
      </c>
      <c r="AG36" s="95">
        <v>0.62365124827116702</v>
      </c>
      <c r="AH36" s="99">
        <v>2.8816141817132788E-3</v>
      </c>
      <c r="AI36" s="99">
        <v>0.11216044139014483</v>
      </c>
      <c r="AJ36" s="99">
        <v>0.49180440802319614</v>
      </c>
      <c r="AK36" s="99">
        <v>2.8816141817132788E-3</v>
      </c>
      <c r="AL36" s="100">
        <v>0.37631472002637911</v>
      </c>
      <c r="AM36" s="103">
        <f>'aij-UNIFAC (LLE)'!$D22*(1-LN(U36)-AG36)</f>
        <v>0.35525105862618039</v>
      </c>
      <c r="AN36" s="104">
        <f>'aij-UNIFAC (LLE)'!$D22*(1-LN(V36)-AH36)</f>
        <v>1.7927539708188094</v>
      </c>
      <c r="AO36" s="104">
        <f>'aij-UNIFAC (LLE)'!$D22*(1-LN(W36)-AI36)</f>
        <v>-0.82513009550554195</v>
      </c>
      <c r="AP36" s="104">
        <f>'aij-UNIFAC (LLE)'!$D22*(1-LN(X36)-AJ36)</f>
        <v>1.9682204917949466</v>
      </c>
      <c r="AQ36" s="104">
        <f>'aij-UNIFAC (LLE)'!$D22*(1-LN(Y36)-AK36)</f>
        <v>1.7927539708188094</v>
      </c>
      <c r="AR36" s="105">
        <f>'aij-UNIFAC (LLE)'!$D22*(1-LN(Z36)-AL36)</f>
        <v>1.1552362517446297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0.31991474085191568</v>
      </c>
      <c r="V37" s="96">
        <v>3.8332944566444621E-2</v>
      </c>
      <c r="W37" s="96">
        <v>1.0214236442902456</v>
      </c>
      <c r="X37" s="99">
        <v>0.56803318687010551</v>
      </c>
      <c r="Y37" s="99">
        <v>3.8332944566444621E-2</v>
      </c>
      <c r="Z37" s="100">
        <v>9.8803863712511403E-2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2.4941640208830949</v>
      </c>
      <c r="AH37" s="99">
        <v>2.9259542322852581</v>
      </c>
      <c r="AI37" s="99">
        <v>0.27408556450075916</v>
      </c>
      <c r="AJ37" s="99">
        <v>1.6909569457299176</v>
      </c>
      <c r="AK37" s="99">
        <v>2.9259542322852581</v>
      </c>
      <c r="AL37" s="100">
        <v>3.0954910842967251</v>
      </c>
      <c r="AM37" s="103">
        <f>'aij-UNIFAC (LLE)'!$D23*(1-LN(U37)-AG37)</f>
        <v>-0.61251252599272188</v>
      </c>
      <c r="AN37" s="104">
        <f>'aij-UNIFAC (LLE)'!$D23*(1-LN(V37)-AH37)</f>
        <v>2.3077290507230974</v>
      </c>
      <c r="AO37" s="104">
        <f>'aij-UNIFAC (LLE)'!$D23*(1-LN(W37)-AI37)</f>
        <v>1.2177510652201995</v>
      </c>
      <c r="AP37" s="104">
        <f>'aij-UNIFAC (LLE)'!$D23*(1-LN(X37)-AJ37)</f>
        <v>-0.21665925161335459</v>
      </c>
      <c r="AQ37" s="104">
        <f>'aij-UNIFAC (LLE)'!$D23*(1-LN(Y37)-AK37)</f>
        <v>2.3077290507230974</v>
      </c>
      <c r="AR37" s="105">
        <f>'aij-UNIFAC (LLE)'!$D23*(1-LN(Z37)-AL37)</f>
        <v>0.37865229286052982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0.28787229301304018</v>
      </c>
      <c r="V38" s="96">
        <v>0.10853372971080172</v>
      </c>
      <c r="W38" s="96">
        <v>0.80568233560535418</v>
      </c>
      <c r="X38" s="99">
        <v>0.63016099604652698</v>
      </c>
      <c r="Y38" s="99">
        <v>0.10853372971080172</v>
      </c>
      <c r="Z38" s="100">
        <v>0.14704746854009337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0.58739731702737319</v>
      </c>
      <c r="AH38" s="99">
        <v>5.1479339534634396E-3</v>
      </c>
      <c r="AI38" s="99">
        <v>0.4898114796574779</v>
      </c>
      <c r="AJ38" s="99">
        <v>0.56336303611176775</v>
      </c>
      <c r="AK38" s="99">
        <v>5.1479339534634396E-3</v>
      </c>
      <c r="AL38" s="100">
        <v>0.35576711227465152</v>
      </c>
      <c r="AM38" s="103">
        <f>'aij-UNIFAC (LLE)'!$D24*(1-LN(U38)-AG38)</f>
        <v>1.2931159856157779</v>
      </c>
      <c r="AN38" s="104">
        <f>'aij-UNIFAC (LLE)'!$D24*(1-LN(V38)-AH38)</f>
        <v>2.5081261510098423</v>
      </c>
      <c r="AO38" s="104">
        <f>'aij-UNIFAC (LLE)'!$D24*(1-LN(W38)-AI38)</f>
        <v>0.5664783220704207</v>
      </c>
      <c r="AP38" s="104">
        <f>'aij-UNIFAC (LLE)'!$D24*(1-LN(X38)-AJ38)</f>
        <v>0.700765187344361</v>
      </c>
      <c r="AQ38" s="104">
        <f>'aij-UNIFAC (LLE)'!$D24*(1-LN(Y38)-AK38)</f>
        <v>2.5081261510098423</v>
      </c>
      <c r="AR38" s="105">
        <f>'aij-UNIFAC (LLE)'!$D24*(1-LN(Z38)-AL38)</f>
        <v>1.99776151911642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1.1734484870975206</v>
      </c>
      <c r="V39" s="96">
        <v>2.2660644591285211</v>
      </c>
      <c r="W39" s="96">
        <v>0.28842104855631745</v>
      </c>
      <c r="X39" s="99">
        <v>1.3060497894358567</v>
      </c>
      <c r="Y39" s="99">
        <v>2.2660644591285211</v>
      </c>
      <c r="Z39" s="100">
        <v>2.0314204126241662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0.71722681388417808</v>
      </c>
      <c r="AH39" s="99">
        <v>0.91066783999947831</v>
      </c>
      <c r="AI39" s="99">
        <v>8.3466179238351382E-2</v>
      </c>
      <c r="AJ39" s="99">
        <v>0.98789414114954543</v>
      </c>
      <c r="AK39" s="99">
        <v>0.91066783999947831</v>
      </c>
      <c r="AL39" s="100">
        <v>0.92795099519011048</v>
      </c>
      <c r="AM39" s="103">
        <f>'aij-UNIFAC (LLE)'!$D25*(1-LN(U39)-AG39)</f>
        <v>0.20683956931952957</v>
      </c>
      <c r="AN39" s="104">
        <f>'aij-UNIFAC (LLE)'!$D25*(1-LN(V39)-AH39)</f>
        <v>-1.2271517631360123</v>
      </c>
      <c r="AO39" s="104">
        <f>'aij-UNIFAC (LLE)'!$D25*(1-LN(W39)-AI39)</f>
        <v>3.6372172288565623</v>
      </c>
      <c r="AP39" s="104">
        <f>'aij-UNIFAC (LLE)'!$D25*(1-LN(X39)-AJ39)</f>
        <v>-0.42925378059141678</v>
      </c>
      <c r="AQ39" s="104">
        <f>'aij-UNIFAC (LLE)'!$D25*(1-LN(Y39)-AK39)</f>
        <v>-1.2271517631360123</v>
      </c>
      <c r="AR39" s="105">
        <f>'aij-UNIFAC (LLE)'!$D25*(1-LN(Z39)-AL39)</f>
        <v>-1.0721796520942513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1.124114169644931</v>
      </c>
      <c r="V40" s="96">
        <v>0.97515863050911167</v>
      </c>
      <c r="W40" s="96">
        <v>0.30218584686982602</v>
      </c>
      <c r="X40" s="99">
        <v>1.6726635807210728</v>
      </c>
      <c r="Y40" s="99">
        <v>0.97515863050911167</v>
      </c>
      <c r="Z40" s="100">
        <v>1.0071474823534583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0.86052026273934812</v>
      </c>
      <c r="AH40" s="99">
        <v>0.93127024594904473</v>
      </c>
      <c r="AI40" s="99">
        <v>6.9919839998489608E-2</v>
      </c>
      <c r="AJ40" s="99">
        <v>0.68520511963140052</v>
      </c>
      <c r="AK40" s="99">
        <v>0.93127024594904473</v>
      </c>
      <c r="AL40" s="100">
        <v>1.0252971498275898</v>
      </c>
      <c r="AM40" s="103">
        <f>'aij-UNIFAC (LLE)'!$D26*(1-LN(U40)-AG40)</f>
        <v>4.9105965702144358E-2</v>
      </c>
      <c r="AN40" s="104">
        <f>'aij-UNIFAC (LLE)'!$D26*(1-LN(V40)-AH40)</f>
        <v>0.20504457204735332</v>
      </c>
      <c r="AO40" s="104">
        <f>'aij-UNIFAC (LLE)'!$D26*(1-LN(W40)-AI40)</f>
        <v>4.6449164009878237</v>
      </c>
      <c r="AP40" s="104">
        <f>'aij-UNIFAC (LLE)'!$D26*(1-LN(X40)-AJ40)</f>
        <v>-0.4359753958127468</v>
      </c>
      <c r="AQ40" s="104">
        <f>'aij-UNIFAC (LLE)'!$D26*(1-LN(Y40)-AK40)</f>
        <v>0.20504457204735332</v>
      </c>
      <c r="AR40" s="105">
        <f>'aij-UNIFAC (LLE)'!$D26*(1-LN(Z40)-AL40)</f>
        <v>-7.0803554626017645E-2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1.9039526149674455</v>
      </c>
      <c r="V41" s="108">
        <v>4.8509596852346293E-2</v>
      </c>
      <c r="W41" s="108">
        <v>1.4452336507704617</v>
      </c>
      <c r="X41" s="111">
        <v>0.59734490828245557</v>
      </c>
      <c r="Y41" s="111">
        <v>4.8509596852346293E-2</v>
      </c>
      <c r="Z41" s="112">
        <v>0.44697407931776179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0.53390734738326517</v>
      </c>
      <c r="AH41" s="111">
        <v>0.55452904712035056</v>
      </c>
      <c r="AI41" s="111">
        <v>2.2351160285015359</v>
      </c>
      <c r="AJ41" s="111">
        <v>1.3794246318612051</v>
      </c>
      <c r="AK41" s="111">
        <v>0.55452904712035056</v>
      </c>
      <c r="AL41" s="112">
        <v>0.62344082060521722</v>
      </c>
      <c r="AM41" s="115">
        <f>'aij-UNIFAC (LLE)'!$D27*(1-LN(U41)-AG41)</f>
        <v>-0.14511694741818904</v>
      </c>
      <c r="AN41" s="116">
        <f>'aij-UNIFAC (LLE)'!$D27*(1-LN(V41)-AH41)</f>
        <v>2.8327150974827133</v>
      </c>
      <c r="AO41" s="116">
        <f>'aij-UNIFAC (LLE)'!$D27*(1-LN(W41)-AI41)</f>
        <v>-1.3083638189520377</v>
      </c>
      <c r="AP41" s="116">
        <f>'aij-UNIFAC (LLE)'!$D27*(1-LN(X41)-AJ41)</f>
        <v>0.11084214722531643</v>
      </c>
      <c r="AQ41" s="116">
        <f>'aij-UNIFAC (LLE)'!$D27*(1-LN(Y41)-AK41)</f>
        <v>2.8327150974827133</v>
      </c>
      <c r="AR41" s="117">
        <f>'aij-UNIFAC (LLE)'!$D27*(1-LN(Z41)-AL41)</f>
        <v>0.9643601044953044</v>
      </c>
      <c r="AS41" s="5"/>
      <c r="AT41" s="5"/>
    </row>
    <row r="42" spans="1:46">
      <c r="A42" s="82" t="s">
        <v>143</v>
      </c>
      <c r="B42" s="83">
        <f>B22*SUM(B24:B41)</f>
        <v>0.60399999999999998</v>
      </c>
      <c r="C42" s="83">
        <f>C22*SUM(C24:C41)</f>
        <v>4.1879999999999997</v>
      </c>
      <c r="D42" s="83">
        <f>D22*SUM(D24:D41)</f>
        <v>9.9999999999999995E-21</v>
      </c>
      <c r="E42" s="83">
        <f>E22*SUM(E24:E41)</f>
        <v>7.0000000000000001E-20</v>
      </c>
      <c r="F42" s="83">
        <f>F22*SUM(F24:F41)</f>
        <v>9.9999999999999995E-21</v>
      </c>
      <c r="G42" s="83">
        <f>SUM(B42:F42)</f>
        <v>4.7919999999999998</v>
      </c>
      <c r="H42" s="118" t="s">
        <v>144</v>
      </c>
      <c r="I42" s="36">
        <f t="array" ref="I42">SUM(I24:I41*_QL)</f>
        <v>1.024</v>
      </c>
      <c r="J42" s="36">
        <f t="array" ref="J42">SUM(J24:J41*_QL)</f>
        <v>0.54</v>
      </c>
      <c r="K42" s="36">
        <f t="array" ref="K42">SUM(K24:K41*_QL)</f>
        <v>1.4</v>
      </c>
      <c r="L42" s="36">
        <f t="array" ref="L42">SUM(L24:L41*_QL)</f>
        <v>0.50114285714285722</v>
      </c>
      <c r="M42" s="36">
        <f t="array" ref="M42">SUM(M24:M41*_QL)</f>
        <v>0.84799999999999998</v>
      </c>
      <c r="N42" s="36">
        <f t="array" ref="N42">SUM(N24:N41*_QL)</f>
        <v>0.60100500834724546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145</v>
      </c>
      <c r="B43" s="119">
        <f>SUM(B24:B41)</f>
        <v>2</v>
      </c>
      <c r="C43" s="119">
        <f>SUM(C24:C41)</f>
        <v>6</v>
      </c>
      <c r="D43" s="119">
        <f>SUM(D24:D41)</f>
        <v>1</v>
      </c>
      <c r="E43" s="119">
        <f>SUM(E24:E41)</f>
        <v>7</v>
      </c>
      <c r="F43" s="119">
        <f>SUM(F24:F41)</f>
        <v>1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2.048</v>
      </c>
      <c r="C45" s="58">
        <f t="array" ref="C45">SUM(C24:C41*_QL)</f>
        <v>3.24</v>
      </c>
      <c r="D45" s="58">
        <f t="array" ref="D45">SUM(D24:D41*_QL)</f>
        <v>1.4</v>
      </c>
      <c r="E45" s="58">
        <f t="array" ref="E45">SUM(E24:E41*_QL)</f>
        <v>3.508</v>
      </c>
      <c r="F45" s="58">
        <f t="array" ref="F45">SUM(F24:F41*_QL)</f>
        <v>0.84799999999999998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1.9011</v>
      </c>
      <c r="C46" s="58">
        <f t="array" ref="C46">SUM(C24:C41*_RL)</f>
        <v>4.0464000000000002</v>
      </c>
      <c r="D46" s="58">
        <f t="array" ref="D46">SUM(D24:D41*_RL)</f>
        <v>0.92</v>
      </c>
      <c r="E46" s="58">
        <f t="array" ref="E46">SUM(E24:E41*_RL)</f>
        <v>4.5972</v>
      </c>
      <c r="F46" s="58">
        <f t="array" ref="F46">SUM(F24:F41*_RL)</f>
        <v>0.90110000000000001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146</v>
      </c>
      <c r="B47" s="58">
        <f>B22*B45/SUMPRODUCT($B45:$F45,$B22:$F22)</f>
        <v>0.21475436247576404</v>
      </c>
      <c r="C47" s="58">
        <f>C22*C45/SUMPRODUCT($B45:$F45,$B22:$F22)</f>
        <v>0.78524563752423604</v>
      </c>
      <c r="D47" s="58">
        <f>D22*D45/SUMPRODUCT($B45:$F45,$B22:$F22)</f>
        <v>4.861084105088305E-21</v>
      </c>
      <c r="E47" s="58">
        <f>E22*E45/SUMPRODUCT($B45:$F45,$B22:$F22)</f>
        <v>1.218048788617841E-20</v>
      </c>
      <c r="F47" s="58">
        <f>F22*F45/SUMPRODUCT($B45:$F45,$B22:$F22)</f>
        <v>2.9444280865106303E-21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147</v>
      </c>
      <c r="B48" s="58">
        <f>B22*B46/SUMPRODUCT($B46:$F46,$B22:$F22)</f>
        <v>0.1689359784146002</v>
      </c>
      <c r="C48" s="58">
        <f>C22*C46/SUMPRODUCT($B46:$F46,$B22:$F22)</f>
        <v>0.83106402158539983</v>
      </c>
      <c r="D48" s="58">
        <f>D22*D46/SUMPRODUCT($B46:$F46,$B22:$F22)</f>
        <v>2.7070611984736649E-21</v>
      </c>
      <c r="E48" s="58">
        <f>E22*E46/SUMPRODUCT($B46:$F46,$B22:$F22)</f>
        <v>1.3527067110459927E-20</v>
      </c>
      <c r="F48" s="58">
        <f>F22*F46/SUMPRODUCT($B46:$F46,$B22:$F22)</f>
        <v>2.6514487455919775E-21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148</v>
      </c>
      <c r="B49" s="58">
        <f>LN(B48/B22)+(1-B48/B22)-5*B45*(LN(B48/B47)+(1-B48/B47))</f>
        <v>0.1323169453733693</v>
      </c>
      <c r="C49" s="58">
        <f>LN(C48/C22)+(1-C48/C22)-5*C45*(LN(C48/C47)+(1-C48/C47))</f>
        <v>1.0401118082349812E-2</v>
      </c>
      <c r="D49" s="58">
        <f>LN(D48/D22)+(1-D48/D22)-5*D45*(LN(D48/D47)+(1-D48/D47))</f>
        <v>0.41854722174541703</v>
      </c>
      <c r="E49" s="58">
        <f>LN(E48/E22)+(1-E48/E22)-5*E45*(LN(E48/E47)+(1-E48/E47))</f>
        <v>4.9288106340663523E-2</v>
      </c>
      <c r="F49" s="58">
        <f>LN(F48/F22)+(1-F48/F22)-5*F45*(LN(F48/F47)+(1-F48/F47))</f>
        <v>-0.57012870390664239</v>
      </c>
      <c r="G49" s="121"/>
      <c r="I49" s="122"/>
    </row>
    <row r="50" spans="1:9">
      <c r="A50" s="72" t="s">
        <v>149</v>
      </c>
      <c r="B50" s="58">
        <f t="array" ref="B50">SUM(B24:B36*AM24:AM36)</f>
        <v>0.96823993047688328</v>
      </c>
      <c r="C50" s="58">
        <f t="array" ref="C50">SUM(C24:C36*AN24:AN36)</f>
        <v>0</v>
      </c>
      <c r="D50" s="58">
        <f t="array" ref="D50">SUM(D24:D36*AO24:AO36)</f>
        <v>0</v>
      </c>
      <c r="E50" s="58">
        <f t="array" ref="E50">SUM(E24:E36*AP24:AP36)</f>
        <v>-3.890077890700059E-2</v>
      </c>
      <c r="F50" s="58">
        <f t="array" ref="F50">SUM(F24:F36*AQ24:AQ36)</f>
        <v>0</v>
      </c>
      <c r="G50" s="121"/>
    </row>
    <row r="51" spans="1:9">
      <c r="A51" s="72" t="s">
        <v>150</v>
      </c>
      <c r="B51" s="58">
        <f t="array" ref="B51">SUM(B24:B36*$AR24:$AR36)</f>
        <v>1.9934787327762264</v>
      </c>
      <c r="C51" s="58">
        <f t="array" ref="C51">SUM(C24:C36*$AR24:$AR36)</f>
        <v>0.22501769330608334</v>
      </c>
      <c r="D51" s="58">
        <f t="array" ref="D51">SUM(D24:D36*$AR24:$AR36)</f>
        <v>2.7097054966914689</v>
      </c>
      <c r="E51" s="58">
        <f t="array" ref="E51">SUM(E24:E36*$AR24:$AR36)</f>
        <v>0.11892728124235152</v>
      </c>
      <c r="F51" s="58">
        <f t="array" ref="F51">SUM(F24:F36*$AR24:$AR36)</f>
        <v>5.8893519729493402E-2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1">
    <pageSetUpPr fitToPage="1"/>
  </sheetPr>
  <dimension ref="A1:AV50"/>
  <sheetViews>
    <sheetView showGridLines="0" tabSelected="1" topLeftCell="A14" zoomScale="150" zoomScaleNormal="150" zoomScalePageLayoutView="150" workbookViewId="0">
      <selection activeCell="C22" sqref="C22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303</v>
      </c>
      <c r="B1" s="144"/>
      <c r="C1" s="144"/>
    </row>
    <row r="2" spans="1:46">
      <c r="A2" s="144" t="s">
        <v>302</v>
      </c>
      <c r="B2" s="144"/>
      <c r="C2" s="144"/>
    </row>
    <row r="3" spans="1:46">
      <c r="A3" s="144" t="s">
        <v>300</v>
      </c>
      <c r="B3" s="144"/>
      <c r="C3" s="144"/>
    </row>
    <row r="4" spans="1:46">
      <c r="A4" s="144" t="s">
        <v>301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113</v>
      </c>
      <c r="E8" s="47" t="s">
        <v>114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115</v>
      </c>
      <c r="B9" s="144">
        <f t="array" ref="B9">SUM(B21:F21*B22:F22*B16:F16)</f>
        <v>0.9772918924917241</v>
      </c>
      <c r="C9" s="144" t="s">
        <v>116</v>
      </c>
      <c r="D9" s="48" t="s">
        <v>117</v>
      </c>
      <c r="E9" s="49"/>
      <c r="F9" s="49"/>
      <c r="G9" s="49"/>
      <c r="X9" s="35"/>
      <c r="AN9"/>
      <c r="AS9" s="188" t="s">
        <v>118</v>
      </c>
    </row>
    <row r="10" spans="1:46">
      <c r="A10" s="144" t="s">
        <v>178</v>
      </c>
      <c r="B10" s="192">
        <f>'UNIFAC (LLEa)'!TC.</f>
        <v>25</v>
      </c>
      <c r="C10" s="146" t="s">
        <v>119</v>
      </c>
      <c r="D10" s="50" t="s">
        <v>120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121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1">
      <c r="B12" s="36" t="s">
        <v>122</v>
      </c>
      <c r="C12" s="36" t="s">
        <v>123</v>
      </c>
      <c r="D12" s="36" t="s">
        <v>124</v>
      </c>
      <c r="E12" s="36" t="s">
        <v>125</v>
      </c>
      <c r="F12" s="36" t="s">
        <v>126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1">
      <c r="A13" s="35" t="s">
        <v>127</v>
      </c>
      <c r="B13" s="193">
        <f>'UNIFAC (LLEa)'!B14</f>
        <v>6.47682</v>
      </c>
      <c r="C13" s="193">
        <f>'UNIFAC (LLEa)'!C14</f>
        <v>0</v>
      </c>
      <c r="D13" s="193">
        <f>'UNIFAC (LLEa)'!D14</f>
        <v>8.0713100000000004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128</v>
      </c>
      <c r="B14" s="193">
        <f>'UNIFAC (LLEa)'!B15</f>
        <v>2603.3589999999999</v>
      </c>
      <c r="C14" s="193">
        <f>'UNIFAC (LLEa)'!C15</f>
        <v>0</v>
      </c>
      <c r="D14" s="193">
        <f>'UNIFAC (LLEa)'!D15</f>
        <v>1730.63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239</v>
      </c>
    </row>
    <row r="15" spans="1:46" s="72" customFormat="1" ht="11">
      <c r="A15" s="35" t="s">
        <v>129</v>
      </c>
      <c r="B15" s="193">
        <f>'UNIFAC (LLEa)'!B16</f>
        <v>321.94900000000001</v>
      </c>
      <c r="C15" s="193">
        <f>'UNIFAC (LLEa)'!C16</f>
        <v>0</v>
      </c>
      <c r="D15" s="193">
        <f>'UNIFAC (LLEa)'!D16</f>
        <v>233.42599999999999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3">
      <c r="A16" s="35" t="s">
        <v>130</v>
      </c>
      <c r="B16" s="193">
        <f>'UNIFAC (LLEa)'!B17</f>
        <v>9.4024636752755228E-2</v>
      </c>
      <c r="C16" s="193">
        <f>'UNIFAC (LLEa)'!C17</f>
        <v>1</v>
      </c>
      <c r="D16" s="193">
        <f>'UNIFAC (LLEa)'!D17</f>
        <v>23.686413553095228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1">
      <c r="A17" s="35" t="s">
        <v>131</v>
      </c>
      <c r="B17" s="194">
        <f>'UNIFAC (LLEa)'!B18</f>
        <v>9.2805279249345049E-2</v>
      </c>
      <c r="C17" s="194">
        <f>'UNIFAC (LLEa)'!C18</f>
        <v>0.90719472075065499</v>
      </c>
      <c r="D17" s="194">
        <f>'UNIFAC (LLEa)'!D18</f>
        <v>5.5550273575699908E-18</v>
      </c>
      <c r="E17" s="194">
        <f>'UNIFAC (LLEa)'!E18</f>
        <v>1.2634364705066091E-20</v>
      </c>
      <c r="F17" s="194">
        <f>'UNIFAC (LLEa)'!F18</f>
        <v>6.1599527579020079E-21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1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1">
      <c r="B19" s="36" t="s">
        <v>122</v>
      </c>
      <c r="C19" s="36" t="s">
        <v>123</v>
      </c>
      <c r="D19" s="36" t="s">
        <v>124</v>
      </c>
      <c r="E19" s="36" t="s">
        <v>125</v>
      </c>
      <c r="F19" s="36" t="s">
        <v>126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3">
      <c r="A20" s="35"/>
      <c r="B20" s="261" t="str">
        <f>'UNIFAC (LLEa)'!B21</f>
        <v>MeOH</v>
      </c>
      <c r="C20" s="261" t="str">
        <f>'UNIFAC (LLEa)'!C21</f>
        <v>C6H12</v>
      </c>
      <c r="D20" s="261" t="str">
        <f>'UNIFAC (LLEa)'!D21</f>
        <v>Water</v>
      </c>
      <c r="E20" s="262" t="str">
        <f>'UNIFAC (LLEa)'!E21</f>
        <v>ethyl benzene</v>
      </c>
      <c r="F20" s="261" t="str">
        <f>'UNIFAC (LLEa)'!F21</f>
        <v>none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5">
      <c r="A21" s="72" t="s">
        <v>85</v>
      </c>
      <c r="B21" s="55">
        <v>0.23799999999999999</v>
      </c>
      <c r="C21" s="55">
        <v>0.76200000000000001</v>
      </c>
      <c r="D21" s="55">
        <v>9.9999999999999995E-21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134</v>
      </c>
      <c r="L21" s="36"/>
      <c r="M21"/>
      <c r="N21"/>
      <c r="O21"/>
      <c r="P21"/>
      <c r="Q21" s="80" t="s">
        <v>135</v>
      </c>
      <c r="R21" s="36"/>
      <c r="S21" s="36"/>
      <c r="T21" s="36"/>
      <c r="U21"/>
      <c r="V21" s="35"/>
      <c r="W21" s="81" t="s">
        <v>136</v>
      </c>
      <c r="X21" s="36"/>
      <c r="Y21" s="35"/>
      <c r="Z21" s="35"/>
      <c r="AA21"/>
      <c r="AB21" s="36"/>
      <c r="AC21" s="81" t="s">
        <v>137</v>
      </c>
      <c r="AD21" s="35"/>
      <c r="AE21" s="35"/>
      <c r="AF21" s="35"/>
      <c r="AG21" s="36"/>
      <c r="AH21" s="36"/>
      <c r="AI21" s="81" t="s">
        <v>138</v>
      </c>
      <c r="AJ21" s="35"/>
      <c r="AK21" s="35"/>
      <c r="AM21"/>
      <c r="AO21" s="72" t="s">
        <v>139</v>
      </c>
      <c r="AS21" s="35"/>
      <c r="AT21" s="35"/>
    </row>
    <row r="22" spans="1:48" s="72" customFormat="1" ht="13">
      <c r="A22" s="82" t="s">
        <v>140</v>
      </c>
      <c r="B22" s="56">
        <f>EXP(B50-B49+B48)</f>
        <v>3.9725866406142449</v>
      </c>
      <c r="C22" s="56">
        <f>EXP(C50-C49+C48)</f>
        <v>1.1658712476624733</v>
      </c>
      <c r="D22" s="56">
        <f>EXP(D50-D49+D48)</f>
        <v>37.340321505639608</v>
      </c>
      <c r="E22" s="56">
        <f>EXP(E50-E49+E48)</f>
        <v>1.1574126599080083</v>
      </c>
      <c r="F22" s="56">
        <f>EXP(F50-F49+F48)</f>
        <v>0.57419919072665893</v>
      </c>
      <c r="G22" s="82" t="s">
        <v>141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142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142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142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142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142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142</v>
      </c>
      <c r="AS22" s="35"/>
      <c r="AT22" s="142"/>
    </row>
    <row r="23" spans="1:48" s="72" customFormat="1" ht="11">
      <c r="A23" s="35" t="str">
        <f>'aij-UNIFAC (LLE)'!B10</f>
        <v>CH3</v>
      </c>
      <c r="B23" s="193">
        <f>'UNIFAC (LLEa)'!B24</f>
        <v>1</v>
      </c>
      <c r="C23" s="193">
        <f>'UNIFAC (LLEa)'!C24</f>
        <v>0</v>
      </c>
      <c r="D23" s="193">
        <f>'UNIFAC (LLEa)'!D24</f>
        <v>0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0.23799999999999999</v>
      </c>
      <c r="H23" s="36" t="str">
        <f t="shared" ref="H23:H40" si="0">A23</f>
        <v>CH3</v>
      </c>
      <c r="I23" s="84">
        <f t="shared" ref="I23:I40" si="1">B23/B$42</f>
        <v>0.5</v>
      </c>
      <c r="J23" s="85">
        <f t="shared" ref="J23:J40" si="2">C23/C$42</f>
        <v>0</v>
      </c>
      <c r="K23" s="85">
        <f t="shared" ref="K23:K40" si="3">D23/D$42</f>
        <v>0</v>
      </c>
      <c r="L23" s="85">
        <f t="shared" ref="L23:L40" si="4">E23/E$42</f>
        <v>0.14285714285714285</v>
      </c>
      <c r="M23" s="85">
        <f t="shared" ref="M23:M40" si="5">F23/F$42</f>
        <v>1</v>
      </c>
      <c r="N23" s="86">
        <f t="shared" ref="N23:N40" si="6">G23/$G$41</f>
        <v>4.7147385103011093E-2</v>
      </c>
      <c r="O23" s="84">
        <f>I23*'aij-UNIFAC (LLE)'!$D10/I$41</f>
        <v>0.4140625</v>
      </c>
      <c r="P23" s="85">
        <f>J23*'aij-UNIFAC (LLE)'!$D10/J$41</f>
        <v>0</v>
      </c>
      <c r="Q23" s="85">
        <f>K23*'aij-UNIFAC (LLE)'!$D10/K$41</f>
        <v>0</v>
      </c>
      <c r="R23" s="85">
        <f>L23*'aij-UNIFAC (LLE)'!$D10/L$41</f>
        <v>0.24173318129988591</v>
      </c>
      <c r="S23" s="85">
        <f>M23*'aij-UNIFAC (LLE)'!$D10/M$41</f>
        <v>1</v>
      </c>
      <c r="T23" s="87">
        <f>N23*'aij-UNIFAC (LLE)'!$D10/N$41</f>
        <v>6.8269027813107161E-2</v>
      </c>
      <c r="U23" s="84">
        <f t="array" ref="U23:Z40">MMULT(TRANSPOSE(tauL),O23:T40)</f>
        <v>0.60895048054132939</v>
      </c>
      <c r="V23" s="88">
        <v>1</v>
      </c>
      <c r="W23" s="85">
        <v>0.31713896453518281</v>
      </c>
      <c r="X23" s="85">
        <v>0.71158633622681877</v>
      </c>
      <c r="Y23" s="88">
        <v>1</v>
      </c>
      <c r="Z23" s="89">
        <v>0.93552526364926503</v>
      </c>
      <c r="AA23" s="90">
        <f t="shared" ref="AA23:AA40" si="7">O23/U23</f>
        <v>0.67996087240446412</v>
      </c>
      <c r="AB23" s="91">
        <f t="shared" ref="AB23:AB40" si="8">P23/V23</f>
        <v>0</v>
      </c>
      <c r="AC23" s="91">
        <f t="shared" ref="AC23:AC40" si="9">Q23/W23</f>
        <v>0</v>
      </c>
      <c r="AD23" s="91">
        <f t="shared" ref="AD23:AD40" si="10">R23/X23</f>
        <v>0.33971026282161954</v>
      </c>
      <c r="AE23" s="91">
        <f t="shared" ref="AE23:AE40" si="11">S23/Y23</f>
        <v>1</v>
      </c>
      <c r="AF23" s="86">
        <f t="shared" ref="AF23:AF40" si="12">T23/Z23</f>
        <v>7.2974007721400988E-2</v>
      </c>
      <c r="AG23" s="84">
        <f t="array" ref="AG23:AL40">MMULT(tauL,AA23:AF40)</f>
        <v>0.78639870950745938</v>
      </c>
      <c r="AH23" s="85">
        <v>1</v>
      </c>
      <c r="AI23" s="88">
        <v>1.2775559273734912E-2</v>
      </c>
      <c r="AJ23" s="88">
        <v>1.3378907262909103</v>
      </c>
      <c r="AK23" s="88">
        <v>1</v>
      </c>
      <c r="AL23" s="89">
        <v>1.0210864309496712</v>
      </c>
      <c r="AM23" s="92">
        <f>'aij-UNIFAC (LLE)'!$D10*(1-LN(U23)-AG23)</f>
        <v>0.60175743590360775</v>
      </c>
      <c r="AN23" s="93">
        <f>'aij-UNIFAC (LLE)'!$D10*(1-LN(V23)-AH23)</f>
        <v>0</v>
      </c>
      <c r="AO23" s="93">
        <f>'aij-UNIFAC (LLE)'!$D10*(1-LN(W23)-AI23)</f>
        <v>1.8110224384308249</v>
      </c>
      <c r="AP23" s="93">
        <f>'aij-UNIFAC (LLE)'!$D10*(1-LN(X23)-AJ23)</f>
        <v>2.0078931822006753E-3</v>
      </c>
      <c r="AQ23" s="93">
        <f>'aij-UNIFAC (LLE)'!$D10*(1-LN(Y23)-AK23)</f>
        <v>0</v>
      </c>
      <c r="AR23" s="94">
        <f>'aij-UNIFAC (LLE)'!$D10*(1-LN(Z23)-AL23)</f>
        <v>3.8635471207513622E-2</v>
      </c>
      <c r="AS23" s="35"/>
      <c r="AT23" s="137"/>
      <c r="AU23" s="138"/>
      <c r="AV23" s="142"/>
    </row>
    <row r="24" spans="1:48" s="72" customFormat="1" ht="11">
      <c r="A24" s="35" t="str">
        <f>'aij-UNIFAC (LLE)'!B11</f>
        <v>CH2</v>
      </c>
      <c r="B24" s="193">
        <f>'UNIFAC (LLEa)'!B25</f>
        <v>0</v>
      </c>
      <c r="C24" s="193">
        <f>'UNIFAC (LLEa)'!C25</f>
        <v>6</v>
      </c>
      <c r="D24" s="193">
        <f>'UNIFAC (LLEa)'!D25</f>
        <v>0</v>
      </c>
      <c r="E24" s="193">
        <f>'UNIFAC (LLEa)'!E25</f>
        <v>0</v>
      </c>
      <c r="F24" s="193">
        <f>'UNIFAC (LLEa)'!F25</f>
        <v>0</v>
      </c>
      <c r="G24" s="83">
        <f t="array" ref="G24">SUM(B24:F24*$B$21:$F$21)</f>
        <v>4.5720000000000001</v>
      </c>
      <c r="H24" s="36" t="str">
        <f t="shared" si="0"/>
        <v>CH2</v>
      </c>
      <c r="I24" s="95">
        <f t="shared" si="1"/>
        <v>0</v>
      </c>
      <c r="J24" s="96">
        <f t="shared" si="2"/>
        <v>1</v>
      </c>
      <c r="K24" s="96">
        <f t="shared" si="3"/>
        <v>0</v>
      </c>
      <c r="L24" s="96">
        <f t="shared" si="4"/>
        <v>0</v>
      </c>
      <c r="M24" s="96">
        <f t="shared" si="5"/>
        <v>0</v>
      </c>
      <c r="N24" s="97">
        <f t="shared" si="6"/>
        <v>0.90570522979397783</v>
      </c>
      <c r="O24" s="95">
        <f>I24*'aij-UNIFAC (LLE)'!$D11/I$41</f>
        <v>0</v>
      </c>
      <c r="P24" s="96">
        <f>J24*'aij-UNIFAC (LLE)'!$D11/J$41</f>
        <v>1</v>
      </c>
      <c r="Q24" s="96">
        <f>K24*'aij-UNIFAC (LLE)'!$D11/K$41</f>
        <v>0</v>
      </c>
      <c r="R24" s="96">
        <f>L24*'aij-UNIFAC (LLE)'!$D11/L$41</f>
        <v>0</v>
      </c>
      <c r="S24" s="96">
        <f>M24*'aij-UNIFAC (LLE)'!$D11/M$41</f>
        <v>0</v>
      </c>
      <c r="T24" s="98">
        <f>N24*'aij-UNIFAC (LLE)'!$D11/N$41</f>
        <v>0.8351238573570241</v>
      </c>
      <c r="U24" s="95">
        <v>0.60895048054132939</v>
      </c>
      <c r="V24" s="99">
        <v>1</v>
      </c>
      <c r="W24" s="96">
        <v>0.31713896453518281</v>
      </c>
      <c r="X24" s="96">
        <v>0.71158633622681877</v>
      </c>
      <c r="Y24" s="99">
        <v>1</v>
      </c>
      <c r="Z24" s="100">
        <v>0.93552526364926503</v>
      </c>
      <c r="AA24" s="101">
        <f t="shared" si="7"/>
        <v>0</v>
      </c>
      <c r="AB24" s="102">
        <f t="shared" si="8"/>
        <v>1</v>
      </c>
      <c r="AC24" s="102">
        <f t="shared" si="9"/>
        <v>0</v>
      </c>
      <c r="AD24" s="102">
        <f t="shared" si="10"/>
        <v>0</v>
      </c>
      <c r="AE24" s="102">
        <f t="shared" si="11"/>
        <v>0</v>
      </c>
      <c r="AF24" s="97">
        <f t="shared" si="12"/>
        <v>0.89267910745606316</v>
      </c>
      <c r="AG24" s="95">
        <v>0.78639870950745938</v>
      </c>
      <c r="AH24" s="96">
        <v>1</v>
      </c>
      <c r="AI24" s="99">
        <v>1.2775559273734912E-2</v>
      </c>
      <c r="AJ24" s="99">
        <v>1.3378907262909103</v>
      </c>
      <c r="AK24" s="99">
        <v>1</v>
      </c>
      <c r="AL24" s="100">
        <v>1.0210864309496712</v>
      </c>
      <c r="AM24" s="103">
        <f>'aij-UNIFAC (LLE)'!$D11*(1-LN(U24)-AG24)</f>
        <v>0.38319459361786345</v>
      </c>
      <c r="AN24" s="104">
        <f>'aij-UNIFAC (LLE)'!$D11*(1-LN(V24)-AH24)</f>
        <v>0</v>
      </c>
      <c r="AO24" s="104">
        <f>'aij-UNIFAC (LLE)'!$D11*(1-LN(W24)-AI24)</f>
        <v>1.1532454206988745</v>
      </c>
      <c r="AP24" s="104">
        <f>'aij-UNIFAC (LLE)'!$D11*(1-LN(X24)-AJ24)</f>
        <v>1.278611224514581E-3</v>
      </c>
      <c r="AQ24" s="104">
        <f>'aij-UNIFAC (LLE)'!$D11*(1-LN(Y24)-AK24)</f>
        <v>0</v>
      </c>
      <c r="AR24" s="105">
        <f>'aij-UNIFAC (LLE)'!$D11*(1-LN(Z24)-AL24)</f>
        <v>2.4602776476482735E-2</v>
      </c>
      <c r="AS24" s="35"/>
      <c r="AT24" s="137"/>
      <c r="AU24" s="143"/>
      <c r="AV24" s="143"/>
    </row>
    <row r="25" spans="1:48" s="72" customFormat="1" ht="11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0.60895048054132939</v>
      </c>
      <c r="V25" s="99">
        <v>1</v>
      </c>
      <c r="W25" s="99">
        <v>0.31713896453518281</v>
      </c>
      <c r="X25" s="99">
        <v>0.71158633622681877</v>
      </c>
      <c r="Y25" s="99">
        <v>1</v>
      </c>
      <c r="Z25" s="100">
        <v>0.93552526364926503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0.78639870950745938</v>
      </c>
      <c r="AH25" s="99">
        <v>1</v>
      </c>
      <c r="AI25" s="99">
        <v>1.2775559273734912E-2</v>
      </c>
      <c r="AJ25" s="99">
        <v>1.3378907262909103</v>
      </c>
      <c r="AK25" s="99">
        <v>1</v>
      </c>
      <c r="AL25" s="100">
        <v>1.0210864309496712</v>
      </c>
      <c r="AM25" s="103">
        <f>'aij-UNIFAC (LLE)'!$D12*(1-LN(U25)-AG25)</f>
        <v>0.16179327286087569</v>
      </c>
      <c r="AN25" s="104">
        <f>'aij-UNIFAC (LLE)'!$D12*(1-LN(V25)-AH25)</f>
        <v>0</v>
      </c>
      <c r="AO25" s="104">
        <f>'aij-UNIFAC (LLE)'!$D12*(1-LN(W25)-AI25)</f>
        <v>0.48692584429508029</v>
      </c>
      <c r="AP25" s="104">
        <f>'aij-UNIFAC (LLE)'!$D12*(1-LN(X25)-AJ25)</f>
        <v>5.3985807257282302E-4</v>
      </c>
      <c r="AQ25" s="104">
        <f>'aij-UNIFAC (LLE)'!$D12*(1-LN(Y25)-AK25)</f>
        <v>0</v>
      </c>
      <c r="AR25" s="105">
        <f>'aij-UNIFAC (LLE)'!$D12*(1-LN(Z25)-AL25)</f>
        <v>1.0387838956737155E-2</v>
      </c>
      <c r="AS25" s="35"/>
      <c r="AT25" s="190"/>
    </row>
    <row r="26" spans="1:48" s="72" customFormat="1" ht="11">
      <c r="A26" s="35" t="str">
        <f>'aij-UNIFAC (LLE)'!B13</f>
        <v>ACH</v>
      </c>
      <c r="B26" s="193">
        <f>'UNIFAC (LLEa)'!B27</f>
        <v>0</v>
      </c>
      <c r="C26" s="193">
        <f>'UNIFAC (LLEa)'!C27</f>
        <v>0</v>
      </c>
      <c r="D26" s="193">
        <f>'UNIFAC (LLEa)'!D27</f>
        <v>0</v>
      </c>
      <c r="E26" s="193">
        <f>'UNIFAC (LLEa)'!E27</f>
        <v>5</v>
      </c>
      <c r="F26" s="193">
        <f>'UNIFAC (LLEa)'!F27</f>
        <v>0</v>
      </c>
      <c r="G26" s="83">
        <f t="array" ref="G26">SUM(B26:F26*$B$21:$F$21)</f>
        <v>4.9999999999999999E-20</v>
      </c>
      <c r="H26" s="36" t="str">
        <f t="shared" si="0"/>
        <v>ACH</v>
      </c>
      <c r="I26" s="95">
        <f t="shared" si="1"/>
        <v>0</v>
      </c>
      <c r="J26" s="96">
        <f t="shared" si="2"/>
        <v>0</v>
      </c>
      <c r="K26" s="96">
        <f t="shared" si="3"/>
        <v>0</v>
      </c>
      <c r="L26" s="96">
        <f t="shared" si="4"/>
        <v>0.7142857142857143</v>
      </c>
      <c r="M26" s="96">
        <f t="shared" si="5"/>
        <v>0</v>
      </c>
      <c r="N26" s="97">
        <f t="shared" si="6"/>
        <v>9.9049128367670369E-21</v>
      </c>
      <c r="O26" s="95">
        <f>I26*'aij-UNIFAC (LLE)'!$D13/I$41</f>
        <v>0</v>
      </c>
      <c r="P26" s="96">
        <f>J26*'aij-UNIFAC (LLE)'!$D13/J$41</f>
        <v>0</v>
      </c>
      <c r="Q26" s="96">
        <f>K26*'aij-UNIFAC (LLE)'!$D13/K$41</f>
        <v>0</v>
      </c>
      <c r="R26" s="96">
        <f>L26*'aij-UNIFAC (LLE)'!$D13/L$41</f>
        <v>0.5701254275940707</v>
      </c>
      <c r="S26" s="96">
        <f>M26*'aij-UNIFAC (LLE)'!$D13/M$41</f>
        <v>0</v>
      </c>
      <c r="T26" s="98">
        <f>N26*'aij-UNIFAC (LLE)'!$D13/N$41</f>
        <v>6.7652041197387006E-21</v>
      </c>
      <c r="U26" s="95">
        <v>1.2128570378099255</v>
      </c>
      <c r="V26" s="96">
        <v>1.4696747042862897</v>
      </c>
      <c r="W26" s="96">
        <v>0.2863967113010697</v>
      </c>
      <c r="X26" s="99">
        <v>1.2332293994061172</v>
      </c>
      <c r="Y26" s="99">
        <v>1.4696747042862897</v>
      </c>
      <c r="Z26" s="100">
        <v>1.4273315980750965</v>
      </c>
      <c r="AA26" s="101">
        <f t="shared" si="7"/>
        <v>0</v>
      </c>
      <c r="AB26" s="102">
        <f t="shared" si="8"/>
        <v>0</v>
      </c>
      <c r="AC26" s="102">
        <f t="shared" si="9"/>
        <v>0</v>
      </c>
      <c r="AD26" s="102">
        <f t="shared" si="10"/>
        <v>0.46230281881750823</v>
      </c>
      <c r="AE26" s="102">
        <f t="shared" si="11"/>
        <v>0</v>
      </c>
      <c r="AF26" s="97">
        <f t="shared" si="12"/>
        <v>4.7397564300140729E-21</v>
      </c>
      <c r="AG26" s="95">
        <v>0.48951372720119413</v>
      </c>
      <c r="AH26" s="99">
        <v>0.5916124096015547</v>
      </c>
      <c r="AI26" s="99">
        <v>5.5997864440543062E-2</v>
      </c>
      <c r="AJ26" s="99">
        <v>0.78677617042954884</v>
      </c>
      <c r="AK26" s="99">
        <v>0.5916124096015547</v>
      </c>
      <c r="AL26" s="100">
        <v>0.61672758771511915</v>
      </c>
      <c r="AM26" s="103">
        <f>'aij-UNIFAC (LLE)'!$D13*(1-LN(U26)-AG26)</f>
        <v>0.12700300325689434</v>
      </c>
      <c r="AN26" s="104">
        <f>'aij-UNIFAC (LLE)'!$D13*(1-LN(V26)-AH26)</f>
        <v>9.3386014788481297E-3</v>
      </c>
      <c r="AO26" s="104">
        <f>'aij-UNIFAC (LLE)'!$D13*(1-LN(W26)-AI26)</f>
        <v>0.87775178496334361</v>
      </c>
      <c r="AP26" s="104">
        <f>'aij-UNIFAC (LLE)'!$D13*(1-LN(X26)-AJ26)</f>
        <v>1.4350291564633189E-3</v>
      </c>
      <c r="AQ26" s="104">
        <f>'aij-UNIFAC (LLE)'!$D13*(1-LN(Y26)-AK26)</f>
        <v>9.3386014788481297E-3</v>
      </c>
      <c r="AR26" s="105">
        <f>'aij-UNIFAC (LLE)'!$D13*(1-LN(Z26)-AL26)</f>
        <v>1.0986290608256288E-2</v>
      </c>
      <c r="AS26" s="35"/>
      <c r="AT26" s="190"/>
    </row>
    <row r="27" spans="1:48" s="72" customFormat="1" ht="11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1</v>
      </c>
      <c r="F27" s="193">
        <f>'UNIFAC (LLEa)'!F28</f>
        <v>0</v>
      </c>
      <c r="G27" s="83">
        <f t="array" ref="G27">SUM(B27:F27*$B$21:$F$21)</f>
        <v>9.9999999999999995E-21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0.14285714285714285</v>
      </c>
      <c r="M27" s="96">
        <f t="shared" si="5"/>
        <v>0</v>
      </c>
      <c r="N27" s="97">
        <f t="shared" si="6"/>
        <v>1.9809825673534071E-21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0.18814139110604328</v>
      </c>
      <c r="S27" s="96">
        <f>M27*'aij-UNIFAC (LLE)'!$D14/M$41</f>
        <v>0</v>
      </c>
      <c r="T27" s="98">
        <f>N27*'aij-UNIFAC (LLE)'!$D14/N$41</f>
        <v>2.2325173595137708E-21</v>
      </c>
      <c r="U27" s="95">
        <v>1.1938238451387881</v>
      </c>
      <c r="V27" s="96">
        <v>1.4741177886932793</v>
      </c>
      <c r="W27" s="96">
        <v>0.50499176955805858</v>
      </c>
      <c r="X27" s="99">
        <v>0.87010606614215424</v>
      </c>
      <c r="Y27" s="99">
        <v>1.4741177886932793</v>
      </c>
      <c r="Z27" s="100">
        <v>1.4279040044738267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0.21622811106261788</v>
      </c>
      <c r="AE27" s="102">
        <f t="shared" si="11"/>
        <v>0</v>
      </c>
      <c r="AF27" s="97">
        <f t="shared" si="12"/>
        <v>1.5634926105109138E-21</v>
      </c>
      <c r="AG27" s="95">
        <v>0.47908537538678631</v>
      </c>
      <c r="AH27" s="99">
        <v>0.70457583072813879</v>
      </c>
      <c r="AI27" s="99">
        <v>5.0639268591451167E-9</v>
      </c>
      <c r="AJ27" s="99">
        <v>1.2119944291609255</v>
      </c>
      <c r="AK27" s="99">
        <v>0.70457583072813879</v>
      </c>
      <c r="AL27" s="100">
        <v>0.6803765639326933</v>
      </c>
      <c r="AM27" s="103">
        <f>'aij-UNIFAC (LLE)'!$D14*(1-LN(U27)-AG27)</f>
        <v>0.2268770815816053</v>
      </c>
      <c r="AN27" s="104">
        <f>'aij-UNIFAC (LLE)'!$D14*(1-LN(V27)-AH27)</f>
        <v>-6.1139451265646308E-2</v>
      </c>
      <c r="AO27" s="104">
        <f>'aij-UNIFAC (LLE)'!$D14*(1-LN(W27)-AI27)</f>
        <v>1.1109206741691282</v>
      </c>
      <c r="AP27" s="104">
        <f>'aij-UNIFAC (LLE)'!$D14*(1-LN(X27)-AJ27)</f>
        <v>-4.8083817871517859E-2</v>
      </c>
      <c r="AQ27" s="104">
        <f>'aij-UNIFAC (LLE)'!$D14*(1-LN(Y27)-AK27)</f>
        <v>-6.1139451265646308E-2</v>
      </c>
      <c r="AR27" s="105">
        <f>'aij-UNIFAC (LLE)'!$D14*(1-LN(Z27)-AL27)</f>
        <v>-2.414557320954467E-2</v>
      </c>
      <c r="AS27" s="35"/>
      <c r="AT27" s="190"/>
    </row>
    <row r="28" spans="1:48" s="72" customFormat="1" ht="11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1.1938238451387881</v>
      </c>
      <c r="V28" s="96">
        <v>1.4741177886932793</v>
      </c>
      <c r="W28" s="96">
        <v>0.50499176955805858</v>
      </c>
      <c r="X28" s="99">
        <v>0.87010606614215424</v>
      </c>
      <c r="Y28" s="99">
        <v>1.4741177886932793</v>
      </c>
      <c r="Z28" s="100">
        <v>1.4279040044738267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0.47908537538678631</v>
      </c>
      <c r="AH28" s="99">
        <v>0.70457583072813879</v>
      </c>
      <c r="AI28" s="99">
        <v>5.0639268591451167E-9</v>
      </c>
      <c r="AJ28" s="99">
        <v>1.2119944291609255</v>
      </c>
      <c r="AK28" s="99">
        <v>0.70457583072813879</v>
      </c>
      <c r="AL28" s="100">
        <v>0.6803765639326933</v>
      </c>
      <c r="AM28" s="103">
        <f>'aij-UNIFAC (LLE)'!$D15*(1-LN(U28)-AG28)</f>
        <v>0.33275305298635444</v>
      </c>
      <c r="AN28" s="104">
        <f>'aij-UNIFAC (LLE)'!$D15*(1-LN(V28)-AH28)</f>
        <v>-8.9671195189614583E-2</v>
      </c>
      <c r="AO28" s="104">
        <f>'aij-UNIFAC (LLE)'!$D15*(1-LN(W28)-AI28)</f>
        <v>1.6293503221147212</v>
      </c>
      <c r="AP28" s="104">
        <f>'aij-UNIFAC (LLE)'!$D15*(1-LN(X28)-AJ28)</f>
        <v>-7.0522932878226183E-2</v>
      </c>
      <c r="AQ28" s="104">
        <f>'aij-UNIFAC (LLE)'!$D15*(1-LN(Y28)-AK28)</f>
        <v>-8.9671195189614583E-2</v>
      </c>
      <c r="AR28" s="105">
        <f>'aij-UNIFAC (LLE)'!$D15*(1-LN(Z28)-AL28)</f>
        <v>-3.5413507373998843E-2</v>
      </c>
      <c r="AS28" s="35"/>
      <c r="AT28" s="190"/>
    </row>
    <row r="29" spans="1:48" s="72" customFormat="1" ht="11">
      <c r="A29" s="35" t="str">
        <f>'aij-UNIFAC (LLE)'!B16</f>
        <v>OH</v>
      </c>
      <c r="B29" s="193">
        <f>'UNIFAC (LLEa)'!B30</f>
        <v>1</v>
      </c>
      <c r="C29" s="193">
        <f>'UNIFAC (LLEa)'!C30</f>
        <v>0</v>
      </c>
      <c r="D29" s="193">
        <f>'UNIFAC (LLEa)'!D30</f>
        <v>0</v>
      </c>
      <c r="E29" s="193">
        <f>'UNIFAC (LLEa)'!E30</f>
        <v>0</v>
      </c>
      <c r="F29" s="193">
        <f>'UNIFAC (LLEa)'!F30</f>
        <v>0</v>
      </c>
      <c r="G29" s="83">
        <f t="array" ref="G29">SUM(B29:F29*$B$21:$F$21)</f>
        <v>0.23799999999999999</v>
      </c>
      <c r="H29" s="36" t="str">
        <f t="shared" si="0"/>
        <v>OH</v>
      </c>
      <c r="I29" s="95">
        <f t="shared" si="1"/>
        <v>0.5</v>
      </c>
      <c r="J29" s="96">
        <f t="shared" si="2"/>
        <v>0</v>
      </c>
      <c r="K29" s="96">
        <f t="shared" si="3"/>
        <v>0</v>
      </c>
      <c r="L29" s="96">
        <f t="shared" si="4"/>
        <v>0</v>
      </c>
      <c r="M29" s="96">
        <f t="shared" si="5"/>
        <v>0</v>
      </c>
      <c r="N29" s="97">
        <f t="shared" si="6"/>
        <v>4.7147385103011093E-2</v>
      </c>
      <c r="O29" s="95">
        <f>I29*'aij-UNIFAC (LLE)'!$D16/I$41</f>
        <v>0.5859375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</v>
      </c>
      <c r="S29" s="96">
        <f>M29*'aij-UNIFAC (LLE)'!$D16/M$41</f>
        <v>0</v>
      </c>
      <c r="T29" s="98">
        <f>N29*'aij-UNIFAC (LLE)'!$D16/N$41</f>
        <v>9.6607114829868626E-2</v>
      </c>
      <c r="U29" s="95">
        <v>0.63359394770607025</v>
      </c>
      <c r="V29" s="96">
        <v>0.11509481710145264</v>
      </c>
      <c r="W29" s="96">
        <v>1.5076190398931841</v>
      </c>
      <c r="X29" s="99">
        <v>8.1605881702306565E-2</v>
      </c>
      <c r="Y29" s="99">
        <v>0.11509481710145264</v>
      </c>
      <c r="Z29" s="100">
        <v>0.20058295371927848</v>
      </c>
      <c r="AA29" s="101">
        <f t="shared" si="7"/>
        <v>0.92478392844721669</v>
      </c>
      <c r="AB29" s="102">
        <f t="shared" si="8"/>
        <v>0</v>
      </c>
      <c r="AC29" s="102">
        <f t="shared" si="9"/>
        <v>0</v>
      </c>
      <c r="AD29" s="102">
        <f t="shared" si="10"/>
        <v>0</v>
      </c>
      <c r="AE29" s="102">
        <f t="shared" si="11"/>
        <v>0</v>
      </c>
      <c r="AF29" s="97">
        <f t="shared" si="12"/>
        <v>0.48163172911030622</v>
      </c>
      <c r="AG29" s="95">
        <v>1.1509449119480619</v>
      </c>
      <c r="AH29" s="99">
        <v>0.33260882012386883</v>
      </c>
      <c r="AI29" s="99">
        <v>0.90813621767355412</v>
      </c>
      <c r="AJ29" s="99">
        <v>0.8051060929079803</v>
      </c>
      <c r="AK29" s="99">
        <v>0.33260882012386883</v>
      </c>
      <c r="AL29" s="100">
        <v>0.80281647239842102</v>
      </c>
      <c r="AM29" s="103">
        <f>'aij-UNIFAC (LLE)'!$D16*(1-LN(U29)-AG29)</f>
        <v>0.36648249457327553</v>
      </c>
      <c r="AN29" s="104">
        <f>'aij-UNIFAC (LLE)'!$D16*(1-LN(V29)-AH29)</f>
        <v>3.3952682084054411</v>
      </c>
      <c r="AO29" s="104">
        <f>'aij-UNIFAC (LLE)'!$D16*(1-LN(W29)-AI29)</f>
        <v>-0.38240139513414123</v>
      </c>
      <c r="AP29" s="104">
        <f>'aij-UNIFAC (LLE)'!$D16*(1-LN(X29)-AJ29)</f>
        <v>3.2408974164198976</v>
      </c>
      <c r="AQ29" s="104">
        <f>'aij-UNIFAC (LLE)'!$D16*(1-LN(Y29)-AK29)</f>
        <v>3.3952682084054411</v>
      </c>
      <c r="AR29" s="105">
        <f>'aij-UNIFAC (LLE)'!$D16*(1-LN(Z29)-AL29)</f>
        <v>2.1644530933689254</v>
      </c>
      <c r="AS29" s="35"/>
      <c r="AT29" s="35"/>
    </row>
    <row r="30" spans="1:48" s="72" customFormat="1" ht="11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0.16712744220931303</v>
      </c>
      <c r="V30" s="96">
        <v>0.35271570801530017</v>
      </c>
      <c r="W30" s="96">
        <v>0.7033952414758935</v>
      </c>
      <c r="X30" s="99">
        <v>0.17648516280611629</v>
      </c>
      <c r="Y30" s="99">
        <v>0.35271570801530017</v>
      </c>
      <c r="Z30" s="100">
        <v>0.32211663062940971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3.336463236847778</v>
      </c>
      <c r="AH30" s="99">
        <v>1.5564300475353767</v>
      </c>
      <c r="AI30" s="99">
        <v>0.98043869766926783</v>
      </c>
      <c r="AJ30" s="99">
        <v>2.1465046767643616</v>
      </c>
      <c r="AK30" s="99">
        <v>1.5564300475353767</v>
      </c>
      <c r="AL30" s="100">
        <v>2.6894434235749749</v>
      </c>
      <c r="AM30" s="103">
        <f>'aij-UNIFAC (LLE)'!$D17*(1-LN(U30)-AG30)</f>
        <v>-1.7102794299278556</v>
      </c>
      <c r="AN30" s="104">
        <f>'aij-UNIFAC (LLE)'!$D17*(1-LN(V30)-AH30)</f>
        <v>1.5172107706408557</v>
      </c>
      <c r="AO30" s="104">
        <f>'aij-UNIFAC (LLE)'!$D17*(1-LN(W30)-AI30)</f>
        <v>1.1602461846509207</v>
      </c>
      <c r="AP30" s="104">
        <f>'aij-UNIFAC (LLE)'!$D17*(1-LN(X30)-AJ30)</f>
        <v>1.836955088705291</v>
      </c>
      <c r="AQ30" s="104">
        <f>'aij-UNIFAC (LLE)'!$D17*(1-LN(Y30)-AK30)</f>
        <v>1.5172107706408557</v>
      </c>
      <c r="AR30" s="105">
        <f>'aij-UNIFAC (LLE)'!$D17*(1-LN(Z30)-AL30)</f>
        <v>-1.738824121542853</v>
      </c>
      <c r="AS30" s="35"/>
      <c r="AT30" s="35"/>
    </row>
    <row r="31" spans="1:48" s="72" customFormat="1" ht="11">
      <c r="A31" s="35" t="str">
        <f>'aij-UNIFAC (LLE)'!B18</f>
        <v>H2O</v>
      </c>
      <c r="B31" s="193">
        <f>'UNIFAC (LLEa)'!B32</f>
        <v>0</v>
      </c>
      <c r="C31" s="193">
        <f>'UNIFAC (LLEa)'!C32</f>
        <v>0</v>
      </c>
      <c r="D31" s="193">
        <f>'UNIFAC (LLEa)'!D32</f>
        <v>1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9.9999999999999995E-21</v>
      </c>
      <c r="H31" s="36" t="str">
        <f t="shared" si="0"/>
        <v>H2O</v>
      </c>
      <c r="I31" s="95">
        <f t="shared" si="1"/>
        <v>0</v>
      </c>
      <c r="J31" s="96">
        <f t="shared" si="2"/>
        <v>0</v>
      </c>
      <c r="K31" s="96">
        <f t="shared" si="3"/>
        <v>1</v>
      </c>
      <c r="L31" s="96">
        <f t="shared" si="4"/>
        <v>0</v>
      </c>
      <c r="M31" s="96">
        <f t="shared" si="5"/>
        <v>0</v>
      </c>
      <c r="N31" s="97">
        <f t="shared" si="6"/>
        <v>1.9809825673534071E-21</v>
      </c>
      <c r="O31" s="95">
        <f>I31*'aij-UNIFAC (LLE)'!$D18/I$41</f>
        <v>0</v>
      </c>
      <c r="P31" s="96">
        <f>J31*'aij-UNIFAC (LLE)'!$D18/J$41</f>
        <v>0</v>
      </c>
      <c r="Q31" s="96">
        <f>K31*'aij-UNIFAC (LLE)'!$D18/K$41</f>
        <v>1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4.7356428838170894E-21</v>
      </c>
      <c r="U31" s="95">
        <v>0.53740094505487901</v>
      </c>
      <c r="V31" s="96">
        <v>1.2775559273734912E-2</v>
      </c>
      <c r="W31" s="96">
        <v>1</v>
      </c>
      <c r="X31" s="99">
        <v>3.5014083947378864E-2</v>
      </c>
      <c r="Y31" s="99">
        <v>1.2775559273734912E-2</v>
      </c>
      <c r="Z31" s="100">
        <v>9.9273769213913024E-2</v>
      </c>
      <c r="AA31" s="101">
        <f t="shared" si="7"/>
        <v>0</v>
      </c>
      <c r="AB31" s="102">
        <f t="shared" si="8"/>
        <v>0</v>
      </c>
      <c r="AC31" s="102">
        <f t="shared" si="9"/>
        <v>1</v>
      </c>
      <c r="AD31" s="102">
        <f t="shared" si="10"/>
        <v>0</v>
      </c>
      <c r="AE31" s="102">
        <f t="shared" si="11"/>
        <v>0</v>
      </c>
      <c r="AF31" s="97">
        <f t="shared" si="12"/>
        <v>4.7702861705722346E-20</v>
      </c>
      <c r="AG31" s="95">
        <v>1.6098639453130312</v>
      </c>
      <c r="AH31" s="99">
        <v>0.31713896453518281</v>
      </c>
      <c r="AI31" s="99">
        <v>1</v>
      </c>
      <c r="AJ31" s="99">
        <v>0.34933078436147968</v>
      </c>
      <c r="AK31" s="99">
        <v>0.31713896453518281</v>
      </c>
      <c r="AL31" s="100">
        <v>1.0323633940709285</v>
      </c>
      <c r="AM31" s="103">
        <f>'aij-UNIFAC (LLE)'!$D18*(1-LN(U31)-AG31)</f>
        <v>1.5605630488630416E-2</v>
      </c>
      <c r="AN31" s="104">
        <f>'aij-UNIFAC (LLE)'!$D18*(1-LN(V31)-AH31)</f>
        <v>7.060315360769307</v>
      </c>
      <c r="AO31" s="104">
        <f>'aij-UNIFAC (LLE)'!$D18*(1-LN(W31)-AI31)</f>
        <v>0</v>
      </c>
      <c r="AP31" s="104">
        <f>'aij-UNIFAC (LLE)'!$D18*(1-LN(X31)-AJ31)</f>
        <v>5.6037437618053731</v>
      </c>
      <c r="AQ31" s="104">
        <f>'aij-UNIFAC (LLE)'!$D18*(1-LN(Y31)-AK31)</f>
        <v>7.060315360769307</v>
      </c>
      <c r="AR31" s="105">
        <f>'aij-UNIFAC (LLE)'!$D18*(1-LN(Z31)-AL31)</f>
        <v>3.1885147080013692</v>
      </c>
      <c r="AS31" s="35"/>
      <c r="AT31" s="35"/>
    </row>
    <row r="32" spans="1:48" s="72" customFormat="1" ht="13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1.1290295707746318</v>
      </c>
      <c r="V32" s="96">
        <v>5.1915552327153427E-4</v>
      </c>
      <c r="W32" s="96">
        <v>0.31491306519734752</v>
      </c>
      <c r="X32" s="99">
        <v>7.2898669156508833E-2</v>
      </c>
      <c r="Y32" s="99">
        <v>5.1915552327153427E-4</v>
      </c>
      <c r="Z32" s="100">
        <v>0.18658359972233865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2.3050749346089559</v>
      </c>
      <c r="AH32" s="99">
        <v>1.7091083918547825</v>
      </c>
      <c r="AI32" s="99">
        <v>7.37914953953213</v>
      </c>
      <c r="AJ32" s="99">
        <v>3.8884972315996258</v>
      </c>
      <c r="AK32" s="99">
        <v>1.7091083918547825</v>
      </c>
      <c r="AL32" s="100">
        <v>2.2456584779550455</v>
      </c>
      <c r="AM32" s="103">
        <f>'aij-UNIFAC (LLE)'!$D19*(1-LN(U32)-AG32)</f>
        <v>-0.96997471977875838</v>
      </c>
      <c r="AN32" s="104">
        <f>'aij-UNIFAC (LLE)'!$D19*(1-LN(V32)-AH32)</f>
        <v>4.6608550944778742</v>
      </c>
      <c r="AO32" s="104">
        <f>'aij-UNIFAC (LLE)'!$D19*(1-LN(W32)-AI32)</f>
        <v>-3.5521097968935873</v>
      </c>
      <c r="AP32" s="104">
        <f>'aij-UNIFAC (LLE)'!$D19*(1-LN(X32)-AJ32)</f>
        <v>-0.18347238829289353</v>
      </c>
      <c r="AQ32" s="104">
        <f>'aij-UNIFAC (LLE)'!$D19*(1-LN(Y32)-AK32)</f>
        <v>4.6608550944778742</v>
      </c>
      <c r="AR32" s="105">
        <f>'aij-UNIFAC (LLE)'!$D19*(1-LN(Z32)-AL32)</f>
        <v>0.2945878364172963</v>
      </c>
      <c r="AS32" s="5"/>
      <c r="AT32" s="35"/>
    </row>
    <row r="33" spans="1:46" s="72" customFormat="1" ht="13">
      <c r="A33" s="35" t="str">
        <f>'aij-UNIFAC (LLE)'!B20</f>
        <v>CH3CO</v>
      </c>
      <c r="B33" s="193">
        <f>'UNIFAC (LLEa)'!B34</f>
        <v>0</v>
      </c>
      <c r="C33" s="193">
        <f>'UNIFAC (LLEa)'!C34</f>
        <v>0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</v>
      </c>
      <c r="H33" s="36" t="str">
        <f t="shared" si="0"/>
        <v>CH3CO</v>
      </c>
      <c r="I33" s="95">
        <f t="shared" si="1"/>
        <v>0</v>
      </c>
      <c r="J33" s="96">
        <f t="shared" si="2"/>
        <v>0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0</v>
      </c>
      <c r="O33" s="95">
        <f>I33*'aij-UNIFAC (LLE)'!$D20/I$41</f>
        <v>0</v>
      </c>
      <c r="P33" s="96">
        <f>J33*'aij-UNIFAC (LLE)'!$D20/J$41</f>
        <v>0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</v>
      </c>
      <c r="U33" s="95">
        <v>0.55275419191640185</v>
      </c>
      <c r="V33" s="96">
        <v>0.20492562572161924</v>
      </c>
      <c r="W33" s="96">
        <v>1.7792999910100182</v>
      </c>
      <c r="X33" s="99">
        <v>0.13606462881294015</v>
      </c>
      <c r="Y33" s="99">
        <v>0.20492562572161924</v>
      </c>
      <c r="Z33" s="100">
        <v>0.26227425801685195</v>
      </c>
      <c r="AA33" s="101">
        <f t="shared" si="7"/>
        <v>0</v>
      </c>
      <c r="AB33" s="102">
        <f t="shared" si="8"/>
        <v>0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0</v>
      </c>
      <c r="AG33" s="95">
        <v>0.99204854510469787</v>
      </c>
      <c r="AH33" s="99">
        <v>0.79992017791999159</v>
      </c>
      <c r="AI33" s="99">
        <v>0.11894077096783076</v>
      </c>
      <c r="AJ33" s="99">
        <v>1.1499298261051696</v>
      </c>
      <c r="AK33" s="99">
        <v>0.79992017791999159</v>
      </c>
      <c r="AL33" s="100">
        <v>1.0058357269195346</v>
      </c>
      <c r="AM33" s="103">
        <f>'aij-UNIFAC (LLE)'!$D20*(1-LN(U33)-AG33)</f>
        <v>0.89398047566673389</v>
      </c>
      <c r="AN33" s="104">
        <f>'aij-UNIFAC (LLE)'!$D20*(1-LN(V33)-AH33)</f>
        <v>2.6563597277957203</v>
      </c>
      <c r="AO33" s="104">
        <f>'aij-UNIFAC (LLE)'!$D20*(1-LN(W33)-AI33)</f>
        <v>0.45360073786443261</v>
      </c>
      <c r="AP33" s="104">
        <f>'aij-UNIFAC (LLE)'!$D20*(1-LN(X33)-AJ33)</f>
        <v>2.7449068566197856</v>
      </c>
      <c r="AQ33" s="104">
        <f>'aij-UNIFAC (LLE)'!$D20*(1-LN(Y33)-AK33)</f>
        <v>2.6563597277957203</v>
      </c>
      <c r="AR33" s="105">
        <f>'aij-UNIFAC (LLE)'!$D20*(1-LN(Z33)-AL33)</f>
        <v>1.9828028685008892</v>
      </c>
      <c r="AS33" s="5"/>
      <c r="AT33" s="35"/>
    </row>
    <row r="34" spans="1:46" s="72" customFormat="1" ht="13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0.24884693024573512</v>
      </c>
      <c r="V34" s="96">
        <v>0.58844606877609129</v>
      </c>
      <c r="W34" s="96">
        <v>3.233516842020296</v>
      </c>
      <c r="X34" s="99">
        <v>0.31454629529400052</v>
      </c>
      <c r="Y34" s="99">
        <v>0.58844606877609129</v>
      </c>
      <c r="Z34" s="100">
        <v>0.53245427277032853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4.3455811380913136</v>
      </c>
      <c r="AH34" s="99">
        <v>0.61261303839653836</v>
      </c>
      <c r="AI34" s="99">
        <v>0.12345234716243569</v>
      </c>
      <c r="AJ34" s="99">
        <v>0.90551990326550535</v>
      </c>
      <c r="AK34" s="99">
        <v>0.61261303839653836</v>
      </c>
      <c r="AL34" s="100">
        <v>2.6378276928797173</v>
      </c>
      <c r="AM34" s="103">
        <f>'aij-UNIFAC (LLE)'!$D21*(1-LN(U34)-AG34)</f>
        <v>-1.853021309490134</v>
      </c>
      <c r="AN34" s="104">
        <f>'aij-UNIFAC (LLE)'!$D21*(1-LN(V34)-AH34)</f>
        <v>0.86993879801027796</v>
      </c>
      <c r="AO34" s="104">
        <f>'aij-UNIFAC (LLE)'!$D21*(1-LN(W34)-AI34)</f>
        <v>-0.28157751737898118</v>
      </c>
      <c r="AP34" s="104">
        <f>'aij-UNIFAC (LLE)'!$D21*(1-LN(X34)-AJ34)</f>
        <v>1.186046693973329</v>
      </c>
      <c r="AQ34" s="104">
        <f>'aij-UNIFAC (LLE)'!$D21*(1-LN(Y34)-AK34)</f>
        <v>0.86993879801027796</v>
      </c>
      <c r="AR34" s="105">
        <f>'aij-UNIFAC (LLE)'!$D21*(1-LN(Z34)-AL34)</f>
        <v>-0.95517582443887927</v>
      </c>
      <c r="AS34" s="5"/>
      <c r="AT34" s="35"/>
    </row>
    <row r="35" spans="1:46" s="72" customFormat="1" ht="13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0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0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</v>
      </c>
      <c r="L35" s="96">
        <f t="shared" si="4"/>
        <v>0</v>
      </c>
      <c r="M35" s="96">
        <f t="shared" si="5"/>
        <v>0</v>
      </c>
      <c r="N35" s="97">
        <f t="shared" si="6"/>
        <v>0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0</v>
      </c>
      <c r="U35" s="95">
        <v>1.0899272585441822</v>
      </c>
      <c r="V35" s="96">
        <v>0.62653546945671312</v>
      </c>
      <c r="W35" s="96">
        <v>4.7681836853391824</v>
      </c>
      <c r="X35" s="99">
        <v>0.33292844711013897</v>
      </c>
      <c r="Y35" s="99">
        <v>0.62653546945671312</v>
      </c>
      <c r="Z35" s="100">
        <v>0.70293772017388245</v>
      </c>
      <c r="AA35" s="101">
        <f t="shared" si="7"/>
        <v>0</v>
      </c>
      <c r="AB35" s="102">
        <f t="shared" si="8"/>
        <v>0</v>
      </c>
      <c r="AC35" s="102">
        <f t="shared" si="9"/>
        <v>0</v>
      </c>
      <c r="AD35" s="102">
        <f t="shared" si="10"/>
        <v>0</v>
      </c>
      <c r="AE35" s="102">
        <f t="shared" si="11"/>
        <v>0</v>
      </c>
      <c r="AF35" s="97">
        <f t="shared" si="12"/>
        <v>0</v>
      </c>
      <c r="AG35" s="95">
        <v>0.62365124827116702</v>
      </c>
      <c r="AH35" s="99">
        <v>2.8816141817132788E-3</v>
      </c>
      <c r="AI35" s="99">
        <v>0.11216044139014483</v>
      </c>
      <c r="AJ35" s="99">
        <v>0.49180440802319614</v>
      </c>
      <c r="AK35" s="99">
        <v>2.8816141817132788E-3</v>
      </c>
      <c r="AL35" s="100">
        <v>0.32656262541611053</v>
      </c>
      <c r="AM35" s="103">
        <f>'aij-UNIFAC (LLE)'!$D22*(1-LN(U35)-AG35)</f>
        <v>0.35525105862618039</v>
      </c>
      <c r="AN35" s="104">
        <f>'aij-UNIFAC (LLE)'!$D22*(1-LN(V35)-AH35)</f>
        <v>1.7927539708188094</v>
      </c>
      <c r="AO35" s="104">
        <f>'aij-UNIFAC (LLE)'!$D22*(1-LN(W35)-AI35)</f>
        <v>-0.82513009550554195</v>
      </c>
      <c r="AP35" s="104">
        <f>'aij-UNIFAC (LLE)'!$D22*(1-LN(X35)-AJ35)</f>
        <v>1.9682204917949466</v>
      </c>
      <c r="AQ35" s="104">
        <f>'aij-UNIFAC (LLE)'!$D22*(1-LN(Y35)-AK35)</f>
        <v>1.7927539708188094</v>
      </c>
      <c r="AR35" s="105">
        <f>'aij-UNIFAC (LLE)'!$D22*(1-LN(Z35)-AL35)</f>
        <v>1.2557314131909167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0.31991474085191568</v>
      </c>
      <c r="V36" s="96">
        <v>3.8332944566444621E-2</v>
      </c>
      <c r="W36" s="96">
        <v>1.0214236442902456</v>
      </c>
      <c r="X36" s="99">
        <v>0.56803318687010551</v>
      </c>
      <c r="Y36" s="99">
        <v>3.8332944566444621E-2</v>
      </c>
      <c r="Z36" s="100">
        <v>8.4759064976473286E-2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2.4941640208830949</v>
      </c>
      <c r="AH36" s="99">
        <v>2.9259542322852581</v>
      </c>
      <c r="AI36" s="99">
        <v>0.27408556450075916</v>
      </c>
      <c r="AJ36" s="99">
        <v>1.6909569457299176</v>
      </c>
      <c r="AK36" s="99">
        <v>2.9259542322852581</v>
      </c>
      <c r="AL36" s="100">
        <v>3.0882702539036613</v>
      </c>
      <c r="AM36" s="103">
        <f>'aij-UNIFAC (LLE)'!$D23*(1-LN(U36)-AG36)</f>
        <v>-0.61251252599272188</v>
      </c>
      <c r="AN36" s="104">
        <f>'aij-UNIFAC (LLE)'!$D23*(1-LN(V36)-AH36)</f>
        <v>2.3077290507230974</v>
      </c>
      <c r="AO36" s="104">
        <f>'aij-UNIFAC (LLE)'!$D23*(1-LN(W36)-AI36)</f>
        <v>1.2177510652201995</v>
      </c>
      <c r="AP36" s="104">
        <f>'aij-UNIFAC (LLE)'!$D23*(1-LN(X36)-AJ36)</f>
        <v>-0.21665925161335459</v>
      </c>
      <c r="AQ36" s="104">
        <f>'aij-UNIFAC (LLE)'!$D23*(1-LN(Y36)-AK36)</f>
        <v>2.3077290507230974</v>
      </c>
      <c r="AR36" s="105">
        <f>'aij-UNIFAC (LLE)'!$D23*(1-LN(Z36)-AL36)</f>
        <v>0.65607377442663195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0.28787229301304018</v>
      </c>
      <c r="V37" s="96">
        <v>0.10853372971080172</v>
      </c>
      <c r="W37" s="96">
        <v>0.80568233560535418</v>
      </c>
      <c r="X37" s="99">
        <v>0.63016099604652698</v>
      </c>
      <c r="Y37" s="99">
        <v>0.10853372971080172</v>
      </c>
      <c r="Z37" s="100">
        <v>0.13810238025520793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0.58739731702737319</v>
      </c>
      <c r="AH37" s="99">
        <v>5.1479339534634396E-3</v>
      </c>
      <c r="AI37" s="99">
        <v>0.4898114796574779</v>
      </c>
      <c r="AJ37" s="99">
        <v>0.56336303611176775</v>
      </c>
      <c r="AK37" s="99">
        <v>5.1479339534634396E-3</v>
      </c>
      <c r="AL37" s="100">
        <v>0.30906732533697734</v>
      </c>
      <c r="AM37" s="103">
        <f>'aij-UNIFAC (LLE)'!$D24*(1-LN(U37)-AG37)</f>
        <v>1.2931159856157779</v>
      </c>
      <c r="AN37" s="104">
        <f>'aij-UNIFAC (LLE)'!$D24*(1-LN(V37)-AH37)</f>
        <v>2.5081261510098423</v>
      </c>
      <c r="AO37" s="104">
        <f>'aij-UNIFAC (LLE)'!$D24*(1-LN(W37)-AI37)</f>
        <v>0.5664783220704207</v>
      </c>
      <c r="AP37" s="104">
        <f>'aij-UNIFAC (LLE)'!$D24*(1-LN(X37)-AJ37)</f>
        <v>0.700765187344361</v>
      </c>
      <c r="AQ37" s="104">
        <f>'aij-UNIFAC (LLE)'!$D24*(1-LN(Y37)-AK37)</f>
        <v>2.5081261510098423</v>
      </c>
      <c r="AR37" s="105">
        <f>'aij-UNIFAC (LLE)'!$D24*(1-LN(Z37)-AL37)</f>
        <v>2.0831402729607338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1.1734484870975206</v>
      </c>
      <c r="V38" s="96">
        <v>2.2660644591285211</v>
      </c>
      <c r="W38" s="96">
        <v>0.28842104855631745</v>
      </c>
      <c r="X38" s="99">
        <v>1.3060497894358567</v>
      </c>
      <c r="Y38" s="99">
        <v>2.2660644591285211</v>
      </c>
      <c r="Z38" s="100">
        <v>2.0859181522699437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0.71722681388417808</v>
      </c>
      <c r="AH38" s="99">
        <v>0.91066783999947831</v>
      </c>
      <c r="AI38" s="99">
        <v>8.3466179238351382E-2</v>
      </c>
      <c r="AJ38" s="99">
        <v>0.98789414114954543</v>
      </c>
      <c r="AK38" s="99">
        <v>0.91066783999947831</v>
      </c>
      <c r="AL38" s="100">
        <v>0.93043241838769131</v>
      </c>
      <c r="AM38" s="103">
        <f>'aij-UNIFAC (LLE)'!$D25*(1-LN(U38)-AG38)</f>
        <v>0.20683956931952957</v>
      </c>
      <c r="AN38" s="104">
        <f>'aij-UNIFAC (LLE)'!$D25*(1-LN(V38)-AH38)</f>
        <v>-1.2271517631360123</v>
      </c>
      <c r="AO38" s="104">
        <f>'aij-UNIFAC (LLE)'!$D25*(1-LN(W38)-AI38)</f>
        <v>3.6372172288565623</v>
      </c>
      <c r="AP38" s="104">
        <f>'aij-UNIFAC (LLE)'!$D25*(1-LN(X38)-AJ38)</f>
        <v>-0.42925378059141678</v>
      </c>
      <c r="AQ38" s="104">
        <f>'aij-UNIFAC (LLE)'!$D25*(1-LN(Y38)-AK38)</f>
        <v>-1.2271517631360123</v>
      </c>
      <c r="AR38" s="105">
        <f>'aij-UNIFAC (LLE)'!$D25*(1-LN(Z38)-AL38)</f>
        <v>-1.1209403491651997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1.124114169644931</v>
      </c>
      <c r="V39" s="96">
        <v>0.97515863050911167</v>
      </c>
      <c r="W39" s="96">
        <v>0.30218584686982602</v>
      </c>
      <c r="X39" s="99">
        <v>1.6726635807210728</v>
      </c>
      <c r="Y39" s="99">
        <v>0.97515863050911167</v>
      </c>
      <c r="Z39" s="100">
        <v>0.99971784522713036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0.86052026273934812</v>
      </c>
      <c r="AH39" s="99">
        <v>0.93127024594904473</v>
      </c>
      <c r="AI39" s="99">
        <v>6.9919839998489608E-2</v>
      </c>
      <c r="AJ39" s="99">
        <v>0.68520511963140052</v>
      </c>
      <c r="AK39" s="99">
        <v>0.93127024594904473</v>
      </c>
      <c r="AL39" s="100">
        <v>1.0176592208447255</v>
      </c>
      <c r="AM39" s="103">
        <f>'aij-UNIFAC (LLE)'!$D26*(1-LN(U39)-AG39)</f>
        <v>4.9105965702144358E-2</v>
      </c>
      <c r="AN39" s="104">
        <f>'aij-UNIFAC (LLE)'!$D26*(1-LN(V39)-AH39)</f>
        <v>0.20504457204735332</v>
      </c>
      <c r="AO39" s="104">
        <f>'aij-UNIFAC (LLE)'!$D26*(1-LN(W39)-AI39)</f>
        <v>4.6449164009878237</v>
      </c>
      <c r="AP39" s="104">
        <f>'aij-UNIFAC (LLE)'!$D26*(1-LN(X39)-AJ39)</f>
        <v>-0.4359753958127468</v>
      </c>
      <c r="AQ39" s="104">
        <f>'aij-UNIFAC (LLE)'!$D26*(1-LN(Y39)-AK39)</f>
        <v>0.20504457204735332</v>
      </c>
      <c r="AR39" s="105">
        <f>'aij-UNIFAC (LLE)'!$D26*(1-LN(Z39)-AL39)</f>
        <v>-3.7951425349019886E-2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1.9039526149674455</v>
      </c>
      <c r="V40" s="108">
        <v>4.8509596852346293E-2</v>
      </c>
      <c r="W40" s="108">
        <v>1.4452336507704617</v>
      </c>
      <c r="X40" s="111">
        <v>0.59734490828245557</v>
      </c>
      <c r="Y40" s="111">
        <v>4.8509596852346293E-2</v>
      </c>
      <c r="Z40" s="112">
        <v>0.35442788457300489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0.53390734738326517</v>
      </c>
      <c r="AH40" s="111">
        <v>0.55452904712035056</v>
      </c>
      <c r="AI40" s="111">
        <v>2.2351160285015359</v>
      </c>
      <c r="AJ40" s="111">
        <v>1.3794246318612051</v>
      </c>
      <c r="AK40" s="111">
        <v>0.55452904712035056</v>
      </c>
      <c r="AL40" s="112">
        <v>0.61717053584521198</v>
      </c>
      <c r="AM40" s="115">
        <f>'aij-UNIFAC (LLE)'!$D27*(1-LN(U40)-AG40)</f>
        <v>-0.14511694741818904</v>
      </c>
      <c r="AN40" s="116">
        <f>'aij-UNIFAC (LLE)'!$D27*(1-LN(V40)-AH40)</f>
        <v>2.8327150974827133</v>
      </c>
      <c r="AO40" s="116">
        <f>'aij-UNIFAC (LLE)'!$D27*(1-LN(W40)-AI40)</f>
        <v>-1.3083638189520377</v>
      </c>
      <c r="AP40" s="116">
        <f>'aij-UNIFAC (LLE)'!$D27*(1-LN(X40)-AJ40)</f>
        <v>0.11084214722531643</v>
      </c>
      <c r="AQ40" s="116">
        <f>'aij-UNIFAC (LLE)'!$D27*(1-LN(Y40)-AK40)</f>
        <v>2.8327150974827133</v>
      </c>
      <c r="AR40" s="117">
        <f>'aij-UNIFAC (LLE)'!$D27*(1-LN(Z40)-AL40)</f>
        <v>1.1587851546837158</v>
      </c>
      <c r="AS40" s="5"/>
      <c r="AT40" s="5"/>
    </row>
    <row r="41" spans="1:46">
      <c r="A41" s="82" t="s">
        <v>143</v>
      </c>
      <c r="B41" s="83">
        <f>B21*SUM(B23:B40)</f>
        <v>0.47599999999999998</v>
      </c>
      <c r="C41" s="83">
        <f>C21*SUM(C23:C40)</f>
        <v>4.5720000000000001</v>
      </c>
      <c r="D41" s="83">
        <f>D21*SUM(D23:D40)</f>
        <v>9.9999999999999995E-21</v>
      </c>
      <c r="E41" s="83">
        <f>E21*SUM(E23:E40)</f>
        <v>7.0000000000000001E-20</v>
      </c>
      <c r="F41" s="83">
        <f>F21*SUM(F23:F40)</f>
        <v>9.9999999999999995E-21</v>
      </c>
      <c r="G41" s="83">
        <f>SUM(B41:F41)</f>
        <v>5.048</v>
      </c>
      <c r="H41" s="118" t="s">
        <v>144</v>
      </c>
      <c r="I41" s="36">
        <f t="array" ref="I41">SUM(I23:I40*_QL)</f>
        <v>1.024</v>
      </c>
      <c r="J41" s="36">
        <f t="array" ref="J41">SUM(J23:J40*_QL)</f>
        <v>0.54</v>
      </c>
      <c r="K41" s="36">
        <f t="array" ref="K41">SUM(K23:K40*_QL)</f>
        <v>1.4</v>
      </c>
      <c r="L41" s="36">
        <f t="array" ref="L41">SUM(L23:L40*_QL)</f>
        <v>0.50114285714285722</v>
      </c>
      <c r="M41" s="36">
        <f t="array" ref="M41">SUM(M23:M40*_QL)</f>
        <v>0.84799999999999998</v>
      </c>
      <c r="N41" s="36">
        <f t="array" ref="N41">SUM(N23:N40*_QL)</f>
        <v>0.58563866877971482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145</v>
      </c>
      <c r="B42" s="119">
        <f>SUM(B23:B40)</f>
        <v>2</v>
      </c>
      <c r="C42" s="119">
        <f>SUM(C23:C40)</f>
        <v>6</v>
      </c>
      <c r="D42" s="119">
        <f>SUM(D23:D40)</f>
        <v>1</v>
      </c>
      <c r="E42" s="119">
        <f>SUM(E23:E40)</f>
        <v>7</v>
      </c>
      <c r="F42" s="119">
        <f>SUM(F23:F40)</f>
        <v>1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2.048</v>
      </c>
      <c r="C44" s="58">
        <f t="array" ref="C44">SUM(C23:C40*_QL)</f>
        <v>3.24</v>
      </c>
      <c r="D44" s="58">
        <f t="array" ref="D44">SUM(D23:D40*_QL)</f>
        <v>1.4</v>
      </c>
      <c r="E44" s="58">
        <f t="array" ref="E44">SUM(E23:E40*_QL)</f>
        <v>3.508</v>
      </c>
      <c r="F44" s="58">
        <f t="array" ref="F44">SUM(F23:F40*_QL)</f>
        <v>0.84799999999999998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1.9011</v>
      </c>
      <c r="C45" s="58">
        <f t="array" ref="C45">SUM(C23:C40*_RL)</f>
        <v>4.0464000000000002</v>
      </c>
      <c r="D45" s="58">
        <f t="array" ref="D45">SUM(D23:D40*_RL)</f>
        <v>0.92</v>
      </c>
      <c r="E45" s="58">
        <f t="array" ref="E45">SUM(E23:E40*_RL)</f>
        <v>4.5972</v>
      </c>
      <c r="F45" s="58">
        <f t="array" ref="F45">SUM(F23:F40*_RL)</f>
        <v>0.90110000000000001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146</v>
      </c>
      <c r="B46" s="58">
        <f>B21*B44/SUMPRODUCT($B44:$F44,$B21:$F21)</f>
        <v>0.16487614264297579</v>
      </c>
      <c r="C46" s="58">
        <f>C21*C44/SUMPRODUCT($B44:$F44,$B21:$F21)</f>
        <v>0.83512385735702421</v>
      </c>
      <c r="D46" s="58">
        <f>D21*D44/SUMPRODUCT($B44:$F44,$B21:$F21)</f>
        <v>4.7356428838170894E-21</v>
      </c>
      <c r="E46" s="58">
        <f>E21*E44/SUMPRODUCT($B44:$F44,$B21:$F21)</f>
        <v>1.1866168026021679E-20</v>
      </c>
      <c r="F46" s="58">
        <f>F21*F44/SUMPRODUCT($B44:$F44,$B21:$F21)</f>
        <v>2.8684465467692085E-21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147</v>
      </c>
      <c r="B47" s="58">
        <f>B21*B45/SUMPRODUCT($B45:$F45,$B21:$F21)</f>
        <v>0.12796521857767248</v>
      </c>
      <c r="C47" s="58">
        <f>C21*C45/SUMPRODUCT($B45:$F45,$B21:$F21)</f>
        <v>0.87203478142232749</v>
      </c>
      <c r="D47" s="58">
        <f>D21*D45/SUMPRODUCT($B45:$F45,$B21:$F21)</f>
        <v>2.6019434368041389E-21</v>
      </c>
      <c r="E47" s="58">
        <f>E21*E45/SUMPRODUCT($B45:$F45,$B21:$F21)</f>
        <v>1.3001798225734769E-20</v>
      </c>
      <c r="F47" s="58">
        <f>F21*F45/SUMPRODUCT($B45:$F45,$B21:$F21)</f>
        <v>2.5484904683741406E-21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148</v>
      </c>
      <c r="B48" s="58">
        <f>LN(B47/B21)+(1-B47/B21)-5*B44*(LN(B47/B46)+(1-B47/B46))</f>
        <v>0.14456879518932614</v>
      </c>
      <c r="C48" s="58">
        <f>LN(C47/C21)+(1-C47/C21)-5*C44*(LN(C47/C46)+(1-C47/C46))</f>
        <v>5.8520007275422933E-3</v>
      </c>
      <c r="D48" s="58">
        <f>LN(D47/D21)+(1-D47/D21)-5*D44*(LN(D47/D46)+(1-D47/D46))</f>
        <v>0.43155904029580383</v>
      </c>
      <c r="E48" s="58">
        <f>LN(E47/E21)+(1-E47/E21)-5*E44*(LN(E47/E46)+(1-E47/E46))</f>
        <v>3.7864918382052248E-2</v>
      </c>
      <c r="F48" s="58">
        <f>LN(F47/F21)+(1-F47/F21)-5*F44*(LN(F47/F46)+(1-F47/F46))</f>
        <v>-0.59341439189647216</v>
      </c>
      <c r="G48" s="121"/>
      <c r="I48" s="122"/>
    </row>
    <row r="49" spans="1:7">
      <c r="A49" s="72" t="s">
        <v>149</v>
      </c>
      <c r="B49" s="58">
        <f t="array" ref="B49">SUM(B23:B35*AM23:AM35)</f>
        <v>0.96823993047688328</v>
      </c>
      <c r="C49" s="58">
        <f t="array" ref="C49">SUM(C23:C35*AN23:AN35)</f>
        <v>0</v>
      </c>
      <c r="D49" s="58">
        <f t="array" ref="D49">SUM(D23:D35*AO23:AO35)</f>
        <v>0</v>
      </c>
      <c r="E49" s="58">
        <f t="array" ref="E49">SUM(E23:E35*AP23:AP35)</f>
        <v>-3.890077890700059E-2</v>
      </c>
      <c r="F49" s="58">
        <f t="array" ref="F49">SUM(F23:F35*AQ23:AQ35)</f>
        <v>0</v>
      </c>
      <c r="G49" s="121"/>
    </row>
    <row r="50" spans="1:7">
      <c r="A50" s="72" t="s">
        <v>150</v>
      </c>
      <c r="B50" s="58">
        <f t="array" ref="B50">SUM(B23:B35*$AR23:$AR35)</f>
        <v>2.2030885645764391</v>
      </c>
      <c r="C50" s="58">
        <f t="array" ref="C50">SUM(C23:C35*$AR23:$AR35)</f>
        <v>0.14761665885889641</v>
      </c>
      <c r="D50" s="58">
        <f t="array" ref="D50">SUM(D23:D35*$AR23:$AR35)</f>
        <v>3.1885147080013692</v>
      </c>
      <c r="E50" s="58">
        <f t="array" ref="E50">SUM(E23:E35*$AR23:$AR35)</f>
        <v>6.9421351039250401E-2</v>
      </c>
      <c r="F50" s="58">
        <f t="array" ref="F50">SUM(F23:F35*$AR23:$AR35)</f>
        <v>3.8635471207513622E-2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X62"/>
  <sheetViews>
    <sheetView topLeftCell="A21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6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179</v>
      </c>
      <c r="K1"/>
    </row>
    <row r="2" spans="1:23">
      <c r="A2" s="123" t="s">
        <v>153</v>
      </c>
      <c r="K2"/>
    </row>
    <row r="3" spans="1:23" s="123" customFormat="1" ht="15">
      <c r="A3" s="123" t="s">
        <v>180</v>
      </c>
      <c r="K3"/>
    </row>
    <row r="4" spans="1:23" s="123" customFormat="1" ht="13">
      <c r="A4" s="123" t="s">
        <v>154</v>
      </c>
      <c r="K4"/>
    </row>
    <row r="5" spans="1:23" s="123" customFormat="1" ht="13">
      <c r="A5" s="123" t="s">
        <v>155</v>
      </c>
      <c r="J5" s="123" t="s">
        <v>181</v>
      </c>
      <c r="K5"/>
    </row>
    <row r="6" spans="1:23" s="123" customFormat="1" ht="13">
      <c r="A6" s="5" t="s">
        <v>156</v>
      </c>
      <c r="B6" s="123">
        <f>'UNIFAC (LLEa)'!B11</f>
        <v>25</v>
      </c>
      <c r="C6" s="123" t="s">
        <v>129</v>
      </c>
      <c r="J6" s="139" t="s">
        <v>182</v>
      </c>
      <c r="K6"/>
    </row>
    <row r="7" spans="1:23" ht="18">
      <c r="B7"/>
      <c r="C7"/>
      <c r="D7" s="43"/>
      <c r="E7" s="124" t="s">
        <v>157</v>
      </c>
      <c r="F7" s="43"/>
      <c r="G7" s="43"/>
      <c r="H7" s="43"/>
      <c r="I7" s="148" t="s">
        <v>183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3">
      <c r="A8" s="150" t="s">
        <v>158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159</v>
      </c>
      <c r="B9"/>
      <c r="C9" s="125" t="s">
        <v>160</v>
      </c>
      <c r="D9" s="125" t="s">
        <v>135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161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162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163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164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165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166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167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245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169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170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171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172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175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173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184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185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176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174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177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1.4696747042862897</v>
      </c>
      <c r="I31" s="59">
        <f t="shared" si="4"/>
        <v>1.4741177886932793</v>
      </c>
      <c r="J31" s="59">
        <f t="shared" si="4"/>
        <v>1.4741177886932793</v>
      </c>
      <c r="K31" s="59">
        <f t="shared" si="4"/>
        <v>0.11509481710145264</v>
      </c>
      <c r="L31" s="59">
        <f t="shared" si="4"/>
        <v>0.35271570801530017</v>
      </c>
      <c r="M31" s="59">
        <f t="shared" si="4"/>
        <v>1.2775559273734912E-2</v>
      </c>
      <c r="N31" s="59">
        <f t="shared" si="4"/>
        <v>5.1915552327153427E-4</v>
      </c>
      <c r="O31" s="59">
        <f t="shared" si="4"/>
        <v>0.20492562572161924</v>
      </c>
      <c r="P31" s="59">
        <f t="shared" si="4"/>
        <v>0.58844606877609129</v>
      </c>
      <c r="Q31" s="59">
        <f t="shared" si="4"/>
        <v>0.62653546945671312</v>
      </c>
      <c r="R31" s="59">
        <f t="shared" si="4"/>
        <v>3.8332944566444621E-2</v>
      </c>
      <c r="S31" s="59">
        <f t="shared" si="4"/>
        <v>0.10853372971080172</v>
      </c>
      <c r="T31" s="59">
        <f t="shared" si="4"/>
        <v>2.2660644591285211</v>
      </c>
      <c r="U31" s="59">
        <f t="shared" si="4"/>
        <v>0.97515863050911167</v>
      </c>
      <c r="V31" s="59">
        <f t="shared" si="4"/>
        <v>4.8509596852346293E-2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1.4696747042862897</v>
      </c>
      <c r="I32" s="59">
        <f t="shared" si="5"/>
        <v>1.4741177886932793</v>
      </c>
      <c r="J32" s="59">
        <f t="shared" si="5"/>
        <v>1.4741177886932793</v>
      </c>
      <c r="K32" s="59">
        <f t="shared" si="5"/>
        <v>0.11509481710145264</v>
      </c>
      <c r="L32" s="59">
        <f t="shared" si="5"/>
        <v>0.35271570801530017</v>
      </c>
      <c r="M32" s="59">
        <f t="shared" si="5"/>
        <v>1.2775559273734912E-2</v>
      </c>
      <c r="N32" s="59">
        <f t="shared" si="5"/>
        <v>5.1915552327153427E-4</v>
      </c>
      <c r="O32" s="59">
        <f t="shared" si="5"/>
        <v>0.20492562572161924</v>
      </c>
      <c r="P32" s="59">
        <f t="shared" si="5"/>
        <v>0.58844606877609129</v>
      </c>
      <c r="Q32" s="59">
        <f t="shared" si="5"/>
        <v>0.62653546945671312</v>
      </c>
      <c r="R32" s="59">
        <f t="shared" si="5"/>
        <v>3.8332944566444621E-2</v>
      </c>
      <c r="S32" s="59">
        <f t="shared" si="5"/>
        <v>0.10853372971080172</v>
      </c>
      <c r="T32" s="59">
        <f t="shared" si="5"/>
        <v>2.2660644591285211</v>
      </c>
      <c r="U32" s="59">
        <f t="shared" si="5"/>
        <v>0.97515863050911167</v>
      </c>
      <c r="V32" s="59">
        <f t="shared" si="5"/>
        <v>4.8509596852346293E-2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1.4696747042862897</v>
      </c>
      <c r="I33" s="59">
        <f t="shared" si="6"/>
        <v>1.4741177886932793</v>
      </c>
      <c r="J33" s="59">
        <f t="shared" si="6"/>
        <v>1.4741177886932793</v>
      </c>
      <c r="K33" s="59">
        <f t="shared" si="6"/>
        <v>0.11509481710145264</v>
      </c>
      <c r="L33" s="59">
        <f t="shared" si="6"/>
        <v>0.35271570801530017</v>
      </c>
      <c r="M33" s="59">
        <f t="shared" si="6"/>
        <v>1.2775559273734912E-2</v>
      </c>
      <c r="N33" s="59">
        <f t="shared" si="6"/>
        <v>5.1915552327153427E-4</v>
      </c>
      <c r="O33" s="59">
        <f t="shared" si="6"/>
        <v>0.20492562572161924</v>
      </c>
      <c r="P33" s="59">
        <f t="shared" si="6"/>
        <v>0.58844606877609129</v>
      </c>
      <c r="Q33" s="59">
        <f t="shared" si="6"/>
        <v>0.62653546945671312</v>
      </c>
      <c r="R33" s="59">
        <f t="shared" si="6"/>
        <v>3.8332944566444621E-2</v>
      </c>
      <c r="S33" s="59">
        <f t="shared" si="6"/>
        <v>0.10853372971080172</v>
      </c>
      <c r="T33" s="59">
        <f t="shared" si="6"/>
        <v>2.2660644591285211</v>
      </c>
      <c r="U33" s="59">
        <f t="shared" si="6"/>
        <v>0.97515863050911167</v>
      </c>
      <c r="V33" s="59">
        <f t="shared" si="6"/>
        <v>4.8509596852346293E-2</v>
      </c>
    </row>
    <row r="34" spans="2:24">
      <c r="B34"/>
      <c r="C34"/>
      <c r="D34" s="39" t="str">
        <f t="shared" si="2"/>
        <v>ACH</v>
      </c>
      <c r="E34" s="59">
        <f t="shared" si="3"/>
        <v>0.5916124096015547</v>
      </c>
      <c r="F34" s="59">
        <f t="shared" ref="F34:V34" si="7">EXP(-F13/($B$6+273.15))</f>
        <v>0.5916124096015547</v>
      </c>
      <c r="G34" s="59">
        <f t="shared" si="7"/>
        <v>0.5916124096015547</v>
      </c>
      <c r="H34" s="59">
        <f t="shared" si="7"/>
        <v>1</v>
      </c>
      <c r="I34" s="59">
        <f t="shared" si="7"/>
        <v>0.5711400976073886</v>
      </c>
      <c r="J34" s="59">
        <f t="shared" si="7"/>
        <v>0.5711400976073886</v>
      </c>
      <c r="K34" s="59">
        <f t="shared" si="7"/>
        <v>9.4336022025920424E-2</v>
      </c>
      <c r="L34" s="59">
        <f t="shared" si="7"/>
        <v>0.14424043450144222</v>
      </c>
      <c r="M34" s="59">
        <f t="shared" si="7"/>
        <v>5.5997864440543062E-2</v>
      </c>
      <c r="N34" s="59">
        <f t="shared" si="7"/>
        <v>3.9629241647007041E-3</v>
      </c>
      <c r="O34" s="59">
        <f t="shared" si="7"/>
        <v>0.13652062767587006</v>
      </c>
      <c r="P34" s="59">
        <f t="shared" si="7"/>
        <v>0.29666249871893907</v>
      </c>
      <c r="Q34" s="59">
        <f t="shared" si="7"/>
        <v>0.21248480702311395</v>
      </c>
      <c r="R34" s="59">
        <f t="shared" si="7"/>
        <v>0.98007703956319814</v>
      </c>
      <c r="S34" s="59">
        <f t="shared" si="7"/>
        <v>0.89780885632325491</v>
      </c>
      <c r="T34" s="59">
        <f t="shared" si="7"/>
        <v>1</v>
      </c>
      <c r="U34" s="59">
        <f t="shared" si="7"/>
        <v>2.176670490163914</v>
      </c>
      <c r="V34" s="59">
        <f t="shared" si="7"/>
        <v>0.99451451357559373</v>
      </c>
    </row>
    <row r="35" spans="2:24">
      <c r="B35"/>
      <c r="C35"/>
      <c r="D35" s="39" t="str">
        <f t="shared" si="2"/>
        <v>ACCH2</v>
      </c>
      <c r="E35" s="59">
        <f t="shared" si="3"/>
        <v>0.70457583072813879</v>
      </c>
      <c r="F35" s="59">
        <f t="shared" ref="F35:V35" si="8">EXP(-F14/($B$6+273.15))</f>
        <v>0.70457583072813879</v>
      </c>
      <c r="G35" s="59">
        <f t="shared" si="8"/>
        <v>0.70457583072813879</v>
      </c>
      <c r="H35" s="59">
        <f t="shared" si="8"/>
        <v>1.6361887634574031</v>
      </c>
      <c r="I35" s="59">
        <f t="shared" si="8"/>
        <v>1</v>
      </c>
      <c r="J35" s="59">
        <f t="shared" si="8"/>
        <v>1</v>
      </c>
      <c r="K35" s="59">
        <f t="shared" si="8"/>
        <v>1.4909966951418539E-6</v>
      </c>
      <c r="L35" s="59">
        <f t="shared" si="8"/>
        <v>4.7766911703025834E-2</v>
      </c>
      <c r="M35" s="59">
        <f t="shared" si="8"/>
        <v>5.0639268591451167E-9</v>
      </c>
      <c r="N35" s="59">
        <f t="shared" si="8"/>
        <v>0.37479157452711731</v>
      </c>
      <c r="O35" s="59">
        <f t="shared" si="8"/>
        <v>4.6206866533516501E-2</v>
      </c>
      <c r="P35" s="59">
        <f t="shared" si="8"/>
        <v>1.6819909289924884E-2</v>
      </c>
      <c r="Q35" s="59">
        <f t="shared" si="8"/>
        <v>0.32066863684370772</v>
      </c>
      <c r="R35" s="59">
        <f t="shared" si="8"/>
        <v>5.184224977177369E-9</v>
      </c>
      <c r="S35" s="59">
        <f t="shared" si="8"/>
        <v>0.48931887680294972</v>
      </c>
      <c r="T35" s="59">
        <f t="shared" si="8"/>
        <v>1</v>
      </c>
      <c r="U35" s="59">
        <f t="shared" si="8"/>
        <v>1.0415580941969227</v>
      </c>
      <c r="V35" s="59">
        <f t="shared" si="8"/>
        <v>9.8970868140722534E-2</v>
      </c>
    </row>
    <row r="36" spans="2:24">
      <c r="B36"/>
      <c r="C36"/>
      <c r="D36" s="39" t="str">
        <f t="shared" si="2"/>
        <v>ACCH3</v>
      </c>
      <c r="E36" s="59">
        <f t="shared" si="3"/>
        <v>0.70457583072813879</v>
      </c>
      <c r="F36" s="59">
        <f t="shared" ref="F36:V36" si="9">EXP(-F15/($B$6+273.15))</f>
        <v>0.70457583072813879</v>
      </c>
      <c r="G36" s="59">
        <f t="shared" si="9"/>
        <v>0.70457583072813879</v>
      </c>
      <c r="H36" s="59">
        <f t="shared" si="9"/>
        <v>1.6361887634574031</v>
      </c>
      <c r="I36" s="59">
        <f t="shared" si="9"/>
        <v>1</v>
      </c>
      <c r="J36" s="59">
        <f t="shared" si="9"/>
        <v>1</v>
      </c>
      <c r="K36" s="59">
        <f t="shared" si="9"/>
        <v>1.4909966951418539E-6</v>
      </c>
      <c r="L36" s="59">
        <f t="shared" si="9"/>
        <v>4.7766911703025834E-2</v>
      </c>
      <c r="M36" s="59">
        <f t="shared" si="9"/>
        <v>5.0639268591451167E-9</v>
      </c>
      <c r="N36" s="59">
        <f t="shared" si="9"/>
        <v>0.37479157452711731</v>
      </c>
      <c r="O36" s="59">
        <f t="shared" si="9"/>
        <v>4.6206866533516501E-2</v>
      </c>
      <c r="P36" s="59">
        <f t="shared" si="9"/>
        <v>1.6819909289924884E-2</v>
      </c>
      <c r="Q36" s="59">
        <f t="shared" si="9"/>
        <v>0.32066863684370772</v>
      </c>
      <c r="R36" s="59">
        <f t="shared" si="9"/>
        <v>5.184224977177369E-9</v>
      </c>
      <c r="S36" s="59">
        <f t="shared" si="9"/>
        <v>0.48931887680294972</v>
      </c>
      <c r="T36" s="59">
        <f t="shared" si="9"/>
        <v>1</v>
      </c>
      <c r="U36" s="59">
        <f t="shared" si="9"/>
        <v>1.0415580941969227</v>
      </c>
      <c r="V36" s="59">
        <f t="shared" si="9"/>
        <v>9.8970868140722534E-2</v>
      </c>
    </row>
    <row r="37" spans="2:24">
      <c r="B37"/>
      <c r="C37"/>
      <c r="D37" s="39" t="str">
        <f t="shared" si="2"/>
        <v>OH</v>
      </c>
      <c r="E37" s="59">
        <f t="shared" si="3"/>
        <v>0.33260882012386883</v>
      </c>
      <c r="F37" s="59">
        <f t="shared" ref="F37:V37" si="10">EXP(-F16/($B$6+273.15))</f>
        <v>0.33260882012386883</v>
      </c>
      <c r="G37" s="59">
        <f t="shared" si="10"/>
        <v>0.33260882012386883</v>
      </c>
      <c r="H37" s="59">
        <f t="shared" si="10"/>
        <v>1.0313725534999616</v>
      </c>
      <c r="I37" s="59">
        <f t="shared" si="10"/>
        <v>0.99574945836028106</v>
      </c>
      <c r="J37" s="59">
        <f t="shared" si="10"/>
        <v>0.99574945836028106</v>
      </c>
      <c r="K37" s="59">
        <f t="shared" si="10"/>
        <v>1</v>
      </c>
      <c r="L37" s="59">
        <f t="shared" si="10"/>
        <v>3.5978401039748788E-2</v>
      </c>
      <c r="M37" s="59">
        <f t="shared" si="10"/>
        <v>0.90813621767355412</v>
      </c>
      <c r="N37" s="59">
        <f t="shared" si="10"/>
        <v>1.9265102642189265</v>
      </c>
      <c r="O37" s="59">
        <f t="shared" si="10"/>
        <v>0.79855304536071492</v>
      </c>
      <c r="P37" s="59">
        <f t="shared" si="10"/>
        <v>8.8635390176167745E-3</v>
      </c>
      <c r="Q37" s="59">
        <f t="shared" si="10"/>
        <v>1.417390789499327</v>
      </c>
      <c r="R37" s="59">
        <f t="shared" si="10"/>
        <v>0.51889921022698193</v>
      </c>
      <c r="S37" s="59">
        <f t="shared" si="10"/>
        <v>0.41460487774662197</v>
      </c>
      <c r="T37" s="59">
        <f t="shared" si="10"/>
        <v>0.40133320019561342</v>
      </c>
      <c r="U37" s="59">
        <f t="shared" si="10"/>
        <v>1.2293760839675769</v>
      </c>
      <c r="V37" s="59">
        <f t="shared" si="10"/>
        <v>3.2151323477687823</v>
      </c>
    </row>
    <row r="38" spans="2:24">
      <c r="B38"/>
      <c r="C38"/>
      <c r="D38" s="39" t="str">
        <f t="shared" si="2"/>
        <v>2-Propanol</v>
      </c>
      <c r="E38" s="59">
        <f t="shared" si="3"/>
        <v>1.5564300475353767</v>
      </c>
      <c r="F38" s="59">
        <f t="shared" ref="F38:V38" si="11">EXP(-F17/($B$6+273.15))</f>
        <v>1.5564300475353767</v>
      </c>
      <c r="G38" s="59">
        <f t="shared" si="11"/>
        <v>1.5564300475353767</v>
      </c>
      <c r="H38" s="59">
        <f t="shared" si="11"/>
        <v>2.3284717277556242</v>
      </c>
      <c r="I38" s="59">
        <f t="shared" si="11"/>
        <v>2.503422752546709</v>
      </c>
      <c r="J38" s="59">
        <f t="shared" si="11"/>
        <v>2.503422752546709</v>
      </c>
      <c r="K38" s="59">
        <f t="shared" si="11"/>
        <v>2.4634421444956272</v>
      </c>
      <c r="L38" s="59">
        <f t="shared" si="11"/>
        <v>1</v>
      </c>
      <c r="M38" s="59">
        <f t="shared" si="11"/>
        <v>0.98043869766926783</v>
      </c>
      <c r="N38" s="59">
        <f t="shared" si="11"/>
        <v>1.6716903795055331</v>
      </c>
      <c r="O38" s="59">
        <f t="shared" si="11"/>
        <v>0.30524180457528083</v>
      </c>
      <c r="P38" s="59">
        <f t="shared" si="11"/>
        <v>3.1132586179975883</v>
      </c>
      <c r="Q38" s="59">
        <f t="shared" si="11"/>
        <v>1.2146620292642423</v>
      </c>
      <c r="R38" s="59">
        <f t="shared" si="11"/>
        <v>0.19519789178701921</v>
      </c>
      <c r="S38" s="59">
        <f t="shared" si="11"/>
        <v>1.3503217571225403E-3</v>
      </c>
      <c r="T38" s="59">
        <f t="shared" si="11"/>
        <v>0.1821054169578796</v>
      </c>
      <c r="U38" s="59">
        <f t="shared" si="11"/>
        <v>5.6358833912332961E-3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0.31713896453518281</v>
      </c>
      <c r="F39" s="59">
        <f t="shared" ref="F39:V39" si="12">EXP(-F18/($B$6+273.15))</f>
        <v>0.31713896453518281</v>
      </c>
      <c r="G39" s="59">
        <f t="shared" si="12"/>
        <v>0.31713896453518281</v>
      </c>
      <c r="H39" s="59">
        <f t="shared" si="12"/>
        <v>0.2863967113010697</v>
      </c>
      <c r="I39" s="59">
        <f t="shared" si="12"/>
        <v>0.50499176955805858</v>
      </c>
      <c r="J39" s="59">
        <f t="shared" si="12"/>
        <v>0.50499176955805858</v>
      </c>
      <c r="K39" s="59">
        <f t="shared" si="12"/>
        <v>1.5076190398931841</v>
      </c>
      <c r="L39" s="59">
        <f t="shared" si="12"/>
        <v>0.7033952414758935</v>
      </c>
      <c r="M39" s="59">
        <f t="shared" si="12"/>
        <v>1</v>
      </c>
      <c r="N39" s="59">
        <f t="shared" si="12"/>
        <v>0.31491306519734752</v>
      </c>
      <c r="O39" s="59">
        <f t="shared" si="12"/>
        <v>1.7792999910100182</v>
      </c>
      <c r="P39" s="59">
        <f t="shared" si="12"/>
        <v>3.233516842020296</v>
      </c>
      <c r="Q39" s="59">
        <f t="shared" si="12"/>
        <v>4.7681836853391824</v>
      </c>
      <c r="R39" s="59">
        <f t="shared" si="12"/>
        <v>1.0214236442902456</v>
      </c>
      <c r="S39" s="59">
        <f t="shared" si="12"/>
        <v>0.80568233560535418</v>
      </c>
      <c r="T39" s="59">
        <f t="shared" si="12"/>
        <v>0.28842104855631745</v>
      </c>
      <c r="U39" s="59">
        <f t="shared" si="12"/>
        <v>0.30218584686982602</v>
      </c>
      <c r="V39" s="59">
        <f t="shared" si="12"/>
        <v>1.4452336507704617</v>
      </c>
    </row>
    <row r="40" spans="2:24">
      <c r="B40"/>
      <c r="C40"/>
      <c r="D40" s="39" t="str">
        <f t="shared" si="2"/>
        <v>ACOH</v>
      </c>
      <c r="E40" s="59">
        <f t="shared" si="3"/>
        <v>1.7091083918547825</v>
      </c>
      <c r="F40" s="59">
        <f t="shared" ref="F40:V40" si="13">EXP(-F19/($B$6+273.15))</f>
        <v>1.7091083918547825</v>
      </c>
      <c r="G40" s="59">
        <f t="shared" si="13"/>
        <v>1.7091083918547825</v>
      </c>
      <c r="H40" s="59">
        <f t="shared" si="13"/>
        <v>4.8896492695242877</v>
      </c>
      <c r="I40" s="59">
        <f t="shared" si="13"/>
        <v>4.8439443194258684</v>
      </c>
      <c r="J40" s="59">
        <f t="shared" si="13"/>
        <v>4.8439443194258684</v>
      </c>
      <c r="K40" s="59">
        <f t="shared" si="13"/>
        <v>1.2359082660191609</v>
      </c>
      <c r="L40" s="59">
        <f t="shared" si="13"/>
        <v>6.2671254779685421</v>
      </c>
      <c r="M40" s="59">
        <f t="shared" si="13"/>
        <v>7.37914953953213</v>
      </c>
      <c r="N40" s="59">
        <f t="shared" si="13"/>
        <v>1</v>
      </c>
      <c r="O40" s="59">
        <f t="shared" si="13"/>
        <v>15.949243045075869</v>
      </c>
      <c r="P40" s="59">
        <f t="shared" si="13"/>
        <v>1</v>
      </c>
      <c r="Q40" s="59">
        <f t="shared" si="13"/>
        <v>1</v>
      </c>
      <c r="R40" s="59">
        <f t="shared" si="13"/>
        <v>20.346582532670528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17.396697611653959</v>
      </c>
    </row>
    <row r="41" spans="2:24">
      <c r="B41"/>
      <c r="C41"/>
      <c r="D41" s="39" t="str">
        <f t="shared" si="2"/>
        <v>CH3CO</v>
      </c>
      <c r="E41" s="59">
        <f t="shared" si="3"/>
        <v>0.79992017791999159</v>
      </c>
      <c r="F41" s="59">
        <f t="shared" ref="F41:V41" si="14">EXP(-F20/($B$6+273.15))</f>
        <v>0.79992017791999159</v>
      </c>
      <c r="G41" s="59">
        <f t="shared" si="14"/>
        <v>0.79992017791999159</v>
      </c>
      <c r="H41" s="59">
        <f t="shared" si="14"/>
        <v>1.3003754454967311</v>
      </c>
      <c r="I41" s="59">
        <f t="shared" si="14"/>
        <v>1.281153948448533</v>
      </c>
      <c r="J41" s="59">
        <f t="shared" si="14"/>
        <v>1.281153948448533</v>
      </c>
      <c r="K41" s="59">
        <f t="shared" si="14"/>
        <v>0.4845825162908462</v>
      </c>
      <c r="L41" s="59">
        <f t="shared" si="14"/>
        <v>1.534143886928111</v>
      </c>
      <c r="M41" s="59">
        <f t="shared" si="14"/>
        <v>0.11894077096783076</v>
      </c>
      <c r="N41" s="59">
        <f t="shared" si="14"/>
        <v>6.7199541721988698</v>
      </c>
      <c r="O41" s="59">
        <f t="shared" si="14"/>
        <v>1</v>
      </c>
      <c r="P41" s="59">
        <f t="shared" si="14"/>
        <v>1.1334953107589858</v>
      </c>
      <c r="Q41" s="59">
        <f t="shared" si="14"/>
        <v>1.5260942472651492E-2</v>
      </c>
      <c r="R41" s="59">
        <f t="shared" si="14"/>
        <v>0.41992294381170836</v>
      </c>
      <c r="S41" s="59">
        <f t="shared" si="14"/>
        <v>0.9827037343855578</v>
      </c>
      <c r="T41" s="59">
        <f t="shared" si="14"/>
        <v>2.744390326018689</v>
      </c>
      <c r="U41" s="59">
        <f t="shared" si="14"/>
        <v>0.96051878698071891</v>
      </c>
      <c r="V41" s="59">
        <f t="shared" si="14"/>
        <v>3.3791141419412529E-2</v>
      </c>
    </row>
    <row r="42" spans="2:24">
      <c r="B42"/>
      <c r="C42"/>
      <c r="D42" s="39" t="str">
        <f t="shared" si="2"/>
        <v>CHO</v>
      </c>
      <c r="E42" s="59">
        <f t="shared" si="3"/>
        <v>0.61261303839653836</v>
      </c>
      <c r="F42" s="59">
        <f t="shared" ref="F42:V42" si="15">EXP(-F21/($B$6+273.15))</f>
        <v>0.61261303839653836</v>
      </c>
      <c r="G42" s="59">
        <f t="shared" si="15"/>
        <v>0.61261303839653836</v>
      </c>
      <c r="H42" s="59">
        <f t="shared" si="15"/>
        <v>1.2873134341372185</v>
      </c>
      <c r="I42" s="59">
        <f t="shared" si="15"/>
        <v>0.47302053917940379</v>
      </c>
      <c r="J42" s="59">
        <f t="shared" si="15"/>
        <v>0.47302053917940379</v>
      </c>
      <c r="K42" s="59">
        <f t="shared" si="15"/>
        <v>4.24859053147041</v>
      </c>
      <c r="L42" s="59">
        <f t="shared" si="15"/>
        <v>0.46018835634904781</v>
      </c>
      <c r="M42" s="59">
        <f t="shared" si="15"/>
        <v>0.12345234716243569</v>
      </c>
      <c r="N42" s="59">
        <f t="shared" si="15"/>
        <v>1</v>
      </c>
      <c r="O42" s="59">
        <f t="shared" si="15"/>
        <v>0.65095542959634878</v>
      </c>
      <c r="P42" s="59">
        <f t="shared" si="15"/>
        <v>1</v>
      </c>
      <c r="Q42" s="59">
        <f t="shared" si="15"/>
        <v>0.99748764892384423</v>
      </c>
      <c r="R42" s="59">
        <f t="shared" si="15"/>
        <v>2.2805513630823193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2.8816141817132788E-3</v>
      </c>
      <c r="F43" s="59">
        <f t="shared" ref="F43:V43" si="16">EXP(-F22/($B$6+273.15))</f>
        <v>2.8816141817132788E-3</v>
      </c>
      <c r="G43" s="59">
        <f t="shared" si="16"/>
        <v>2.8816141817132788E-3</v>
      </c>
      <c r="H43" s="59">
        <f t="shared" si="16"/>
        <v>0.77631671773566191</v>
      </c>
      <c r="I43" s="59">
        <f t="shared" si="16"/>
        <v>0.61015233662017676</v>
      </c>
      <c r="J43" s="59">
        <f t="shared" si="16"/>
        <v>0.61015233662017676</v>
      </c>
      <c r="K43" s="59">
        <f t="shared" si="16"/>
        <v>0.67225634470324835</v>
      </c>
      <c r="L43" s="59">
        <f t="shared" si="16"/>
        <v>0.31009172525587275</v>
      </c>
      <c r="M43" s="59">
        <f t="shared" si="16"/>
        <v>0.11216044139014483</v>
      </c>
      <c r="N43" s="59">
        <f t="shared" si="16"/>
        <v>1</v>
      </c>
      <c r="O43" s="59">
        <f t="shared" si="16"/>
        <v>1.4046130629676554</v>
      </c>
      <c r="P43" s="59">
        <f t="shared" si="16"/>
        <v>2.9449708329684059E-2</v>
      </c>
      <c r="Q43" s="59">
        <f t="shared" si="16"/>
        <v>1</v>
      </c>
      <c r="R43" s="59">
        <f t="shared" si="16"/>
        <v>1.4835417937057391</v>
      </c>
      <c r="S43" s="59">
        <f t="shared" si="16"/>
        <v>1.3827372760292467</v>
      </c>
      <c r="T43" s="59">
        <f t="shared" si="16"/>
        <v>3.6934014405593033E-3</v>
      </c>
      <c r="U43" s="59">
        <f t="shared" si="16"/>
        <v>0.85087002740245976</v>
      </c>
      <c r="V43" s="59">
        <f t="shared" si="16"/>
        <v>4.2419195940321508E-2</v>
      </c>
    </row>
    <row r="44" spans="2:24">
      <c r="B44"/>
      <c r="C44" s="43"/>
      <c r="D44" s="39" t="str">
        <f t="shared" si="2"/>
        <v>CH3COO</v>
      </c>
      <c r="E44" s="59">
        <f t="shared" si="3"/>
        <v>2.9259542322852581</v>
      </c>
      <c r="F44" s="59">
        <f t="shared" ref="F44:V44" si="17">EXP(-F23/($B$6+273.15))</f>
        <v>2.9259542322852581</v>
      </c>
      <c r="G44" s="59">
        <f t="shared" si="17"/>
        <v>2.9259542322852581</v>
      </c>
      <c r="H44" s="59">
        <f t="shared" si="17"/>
        <v>0.68042267930686384</v>
      </c>
      <c r="I44" s="59">
        <f t="shared" si="17"/>
        <v>1.7685903094005786</v>
      </c>
      <c r="J44" s="59">
        <f t="shared" si="17"/>
        <v>1.7685903094005786</v>
      </c>
      <c r="K44" s="59">
        <f t="shared" si="17"/>
        <v>0.54567300853745238</v>
      </c>
      <c r="L44" s="59">
        <f t="shared" si="17"/>
        <v>1.6694491324749547</v>
      </c>
      <c r="M44" s="59">
        <f t="shared" si="17"/>
        <v>0.27408556450075916</v>
      </c>
      <c r="N44" s="59">
        <f t="shared" si="17"/>
        <v>3.0997136721965686</v>
      </c>
      <c r="O44" s="59">
        <f t="shared" si="17"/>
        <v>0.82090299843410386</v>
      </c>
      <c r="P44" s="59">
        <f t="shared" si="17"/>
        <v>2.5838803280824833E-2</v>
      </c>
      <c r="Q44" s="59">
        <f t="shared" si="17"/>
        <v>8.6288737371991026E-3</v>
      </c>
      <c r="R44" s="59">
        <f t="shared" si="17"/>
        <v>1</v>
      </c>
      <c r="S44" s="59">
        <f t="shared" si="17"/>
        <v>2.2045902713578287</v>
      </c>
      <c r="T44" s="59">
        <f t="shared" si="17"/>
        <v>0.69402146487654326</v>
      </c>
      <c r="U44" s="59">
        <f t="shared" si="17"/>
        <v>2.0204843226297839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5.1479339534634396E-3</v>
      </c>
      <c r="F45" s="59">
        <f t="shared" ref="F45:V45" si="18">EXP(-F24/($B$6+273.15))</f>
        <v>5.1479339534634396E-3</v>
      </c>
      <c r="G45" s="59">
        <f t="shared" si="18"/>
        <v>5.1479339534634396E-3</v>
      </c>
      <c r="H45" s="59">
        <f t="shared" si="18"/>
        <v>0.8395872501795304</v>
      </c>
      <c r="I45" s="59">
        <f t="shared" si="18"/>
        <v>0.80225774928947757</v>
      </c>
      <c r="J45" s="59">
        <f t="shared" si="18"/>
        <v>0.80225774928947757</v>
      </c>
      <c r="K45" s="59">
        <f t="shared" si="18"/>
        <v>0.6313874034832152</v>
      </c>
      <c r="L45" s="59">
        <f t="shared" si="18"/>
        <v>2.0782183920836648</v>
      </c>
      <c r="M45" s="59">
        <f t="shared" si="18"/>
        <v>0.4898114796574779</v>
      </c>
      <c r="N45" s="59">
        <f t="shared" si="18"/>
        <v>1</v>
      </c>
      <c r="O45" s="59">
        <f t="shared" si="18"/>
        <v>0.83888354789052855</v>
      </c>
      <c r="P45" s="59">
        <f t="shared" si="18"/>
        <v>1</v>
      </c>
      <c r="Q45" s="59">
        <f t="shared" si="18"/>
        <v>9.0741003255865229E-3</v>
      </c>
      <c r="R45" s="59">
        <f t="shared" si="18"/>
        <v>0.21284144474916758</v>
      </c>
      <c r="S45" s="59">
        <f t="shared" si="18"/>
        <v>1</v>
      </c>
      <c r="T45" s="59">
        <f t="shared" si="18"/>
        <v>0.6299067636853718</v>
      </c>
      <c r="U45" s="59">
        <f t="shared" si="18"/>
        <v>1.6778693355799765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0.91066783999947831</v>
      </c>
      <c r="F46" s="59">
        <f t="shared" ref="F46:V46" si="19">EXP(-F25/($B$6+273.15))</f>
        <v>0.91066783999947831</v>
      </c>
      <c r="G46" s="59">
        <f t="shared" si="19"/>
        <v>0.91066783999947831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0.10597969094468089</v>
      </c>
      <c r="L46" s="59">
        <f t="shared" si="19"/>
        <v>3.8457667587150439</v>
      </c>
      <c r="M46" s="59">
        <f t="shared" si="19"/>
        <v>8.3466179238351382E-2</v>
      </c>
      <c r="N46" s="59">
        <f t="shared" si="19"/>
        <v>1</v>
      </c>
      <c r="O46" s="59">
        <f t="shared" si="19"/>
        <v>0.15775352238003126</v>
      </c>
      <c r="P46" s="59">
        <f t="shared" si="19"/>
        <v>1</v>
      </c>
      <c r="Q46" s="59">
        <f t="shared" si="19"/>
        <v>0.2303735876978745</v>
      </c>
      <c r="R46" s="59">
        <f t="shared" si="19"/>
        <v>1.5616591037625136</v>
      </c>
      <c r="S46" s="59">
        <f t="shared" si="19"/>
        <v>1.9407782436155514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0.93127024594904473</v>
      </c>
      <c r="F47" s="59">
        <f t="shared" si="20"/>
        <v>0.93127024594904473</v>
      </c>
      <c r="G47" s="59">
        <f t="shared" si="20"/>
        <v>0.93127024594904473</v>
      </c>
      <c r="H47" s="59">
        <f t="shared" si="20"/>
        <v>0.37998110871501695</v>
      </c>
      <c r="I47" s="59">
        <f t="shared" si="20"/>
        <v>0.89339319025822472</v>
      </c>
      <c r="J47" s="59">
        <f t="shared" si="20"/>
        <v>0.89339319025822472</v>
      </c>
      <c r="K47" s="59">
        <f t="shared" si="20"/>
        <v>0.24577950250623196</v>
      </c>
      <c r="L47" s="59">
        <f t="shared" si="20"/>
        <v>4.7681836853391824</v>
      </c>
      <c r="M47" s="59">
        <f t="shared" si="20"/>
        <v>6.9919839998489608E-2</v>
      </c>
      <c r="N47" s="59">
        <f t="shared" si="20"/>
        <v>1</v>
      </c>
      <c r="O47" s="59">
        <f t="shared" si="20"/>
        <v>15.949243045075869</v>
      </c>
      <c r="P47" s="59">
        <f t="shared" si="20"/>
        <v>1</v>
      </c>
      <c r="Q47" s="59">
        <f t="shared" si="20"/>
        <v>0.28871140529209915</v>
      </c>
      <c r="R47" s="59">
        <f t="shared" si="20"/>
        <v>20.346582532670528</v>
      </c>
      <c r="S47" s="59">
        <f t="shared" si="20"/>
        <v>1.0727222366113176</v>
      </c>
      <c r="T47" s="59">
        <f t="shared" si="20"/>
        <v>1</v>
      </c>
      <c r="U47" s="59">
        <f>EXP(-U26/($B$6+273.15))</f>
        <v>1</v>
      </c>
      <c r="V47" s="59">
        <f>EXP(-V26/($B$6+273.15))</f>
        <v>1.2881772579156781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0.55452904712035056</v>
      </c>
      <c r="F48" s="59">
        <f t="shared" si="21"/>
        <v>0.55452904712035056</v>
      </c>
      <c r="G48" s="59">
        <f t="shared" si="21"/>
        <v>0.55452904712035056</v>
      </c>
      <c r="H48" s="59">
        <f t="shared" si="21"/>
        <v>2.0838021828975481</v>
      </c>
      <c r="I48" s="59">
        <f t="shared" si="21"/>
        <v>1.0530443955280913</v>
      </c>
      <c r="J48" s="59">
        <f t="shared" si="21"/>
        <v>1.0530443955280913</v>
      </c>
      <c r="K48" s="59">
        <f t="shared" si="21"/>
        <v>0.16960642146220831</v>
      </c>
      <c r="L48" s="59">
        <f t="shared" si="21"/>
        <v>1</v>
      </c>
      <c r="M48" s="59">
        <f t="shared" si="21"/>
        <v>2.2351160285015359</v>
      </c>
      <c r="N48" s="59">
        <f t="shared" si="21"/>
        <v>17.911811198828339</v>
      </c>
      <c r="O48" s="59">
        <f t="shared" si="21"/>
        <v>5.6318066629923731E-2</v>
      </c>
      <c r="P48" s="59">
        <f t="shared" si="21"/>
        <v>1</v>
      </c>
      <c r="Q48" s="59">
        <f t="shared" si="21"/>
        <v>0.10173063434805679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2.0657095080244554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C3"/>
  <sheetViews>
    <sheetView workbookViewId="0">
      <selection activeCell="C3" sqref="C3"/>
    </sheetView>
  </sheetViews>
  <sheetFormatPr baseColWidth="10" defaultColWidth="8.83203125" defaultRowHeight="13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344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J26"/>
  <sheetViews>
    <sheetView workbookViewId="0">
      <selection activeCell="A9" sqref="A9"/>
    </sheetView>
  </sheetViews>
  <sheetFormatPr baseColWidth="10" defaultColWidth="8.83203125" defaultRowHeight="13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186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187</v>
      </c>
      <c r="B2" s="5"/>
      <c r="C2" s="5"/>
      <c r="D2" s="5"/>
      <c r="E2" s="5"/>
      <c r="F2" s="5"/>
      <c r="G2" s="5"/>
      <c r="H2" s="5"/>
      <c r="I2" s="5"/>
    </row>
    <row r="3" spans="1:10" s="44" customFormat="1" ht="15">
      <c r="A3" s="4" t="s">
        <v>28</v>
      </c>
      <c r="B3" s="45" t="s">
        <v>188</v>
      </c>
      <c r="C3" s="45" t="s">
        <v>189</v>
      </c>
      <c r="D3" s="45" t="s">
        <v>190</v>
      </c>
      <c r="E3" s="45" t="s">
        <v>191</v>
      </c>
      <c r="F3" s="45" t="s">
        <v>192</v>
      </c>
      <c r="G3" s="4"/>
      <c r="H3" s="5" t="s">
        <v>193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224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/>
  <dimension ref="A1:I32"/>
  <sheetViews>
    <sheetView showGridLines="0" workbookViewId="0">
      <selection activeCell="C1" sqref="C1"/>
    </sheetView>
  </sheetViews>
  <sheetFormatPr baseColWidth="10" defaultColWidth="9.6640625" defaultRowHeight="13"/>
  <cols>
    <col min="1" max="2" width="9.6640625" style="4"/>
    <col min="3" max="16384" width="9.6640625" style="5"/>
  </cols>
  <sheetData>
    <row r="1" spans="1:9">
      <c r="A1" s="3" t="s">
        <v>25</v>
      </c>
    </row>
    <row r="3" spans="1:9" ht="16">
      <c r="B3" s="3" t="s">
        <v>26</v>
      </c>
    </row>
    <row r="4" spans="1:9">
      <c r="B4" s="6" t="s">
        <v>251</v>
      </c>
      <c r="C4" s="7"/>
      <c r="D4" s="8" t="s">
        <v>252</v>
      </c>
      <c r="E4" s="9" t="s">
        <v>253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85"/>
  <sheetViews>
    <sheetView showGridLines="0" workbookViewId="0">
      <selection activeCell="J6" sqref="J6"/>
    </sheetView>
  </sheetViews>
  <sheetFormatPr baseColWidth="10" defaultColWidth="9.1640625" defaultRowHeight="13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256</v>
      </c>
    </row>
    <row r="2" spans="1:17" s="155" customFormat="1">
      <c r="A2" s="155" t="s">
        <v>258</v>
      </c>
    </row>
    <row r="3" spans="1:17" s="155" customFormat="1">
      <c r="A3" s="155" t="s">
        <v>259</v>
      </c>
    </row>
    <row r="4" spans="1:17" s="155" customFormat="1">
      <c r="A4" s="155" t="s">
        <v>260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194</v>
      </c>
    </row>
    <row r="9" spans="1:17" s="155" customFormat="1" ht="15">
      <c r="A9" s="163" t="s">
        <v>195</v>
      </c>
      <c r="B9" s="173"/>
      <c r="C9" s="173"/>
      <c r="D9" s="174" t="s">
        <v>152</v>
      </c>
      <c r="E9" s="174" t="s">
        <v>128</v>
      </c>
      <c r="F9" s="174" t="s">
        <v>129</v>
      </c>
      <c r="G9" s="173"/>
      <c r="H9" s="173" t="s">
        <v>197</v>
      </c>
      <c r="I9" s="173"/>
      <c r="J9" s="175" t="s">
        <v>198</v>
      </c>
      <c r="K9" s="176"/>
    </row>
    <row r="10" spans="1:17" s="155" customFormat="1">
      <c r="A10" s="164">
        <v>1</v>
      </c>
      <c r="B10" s="165" t="s">
        <v>168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151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257</v>
      </c>
    </row>
    <row r="13" spans="1:17">
      <c r="A13" s="161" t="s">
        <v>261</v>
      </c>
      <c r="H13" s="156" t="s">
        <v>209</v>
      </c>
      <c r="I13" s="161">
        <v>760</v>
      </c>
      <c r="J13" s="156" t="s">
        <v>210</v>
      </c>
    </row>
    <row r="14" spans="1:17" ht="15">
      <c r="A14" s="168" t="s">
        <v>52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 ht="15">
      <c r="A15" s="168" t="s">
        <v>199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196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203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5">
      <c r="A19" s="170" t="s">
        <v>204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220</v>
      </c>
    </row>
    <row r="23" spans="1:16" ht="15">
      <c r="A23" s="168" t="s">
        <v>52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5">
      <c r="A24" s="170" t="s">
        <v>206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5">
      <c r="A25" s="170" t="s">
        <v>207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 ht="16">
      <c r="A26" s="168" t="s">
        <v>205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 ht="16">
      <c r="A27" s="168" t="s">
        <v>208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 ht="15">
      <c r="A28" s="168" t="s">
        <v>254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 ht="15">
      <c r="A29" s="168" t="s">
        <v>255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211</v>
      </c>
    </row>
    <row r="31" spans="1:16" ht="16">
      <c r="A31" s="180" t="s">
        <v>218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213</v>
      </c>
      <c r="I32" s="155" t="s">
        <v>212</v>
      </c>
      <c r="K32" s="155"/>
      <c r="L32" s="155"/>
      <c r="M32" s="162" t="s">
        <v>213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244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214</v>
      </c>
    </row>
    <row r="35" spans="1:18">
      <c r="A35" s="168" t="s">
        <v>20</v>
      </c>
      <c r="B35" s="170" t="s">
        <v>202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215</v>
      </c>
    </row>
    <row r="36" spans="1:18">
      <c r="A36" s="170" t="s">
        <v>200</v>
      </c>
      <c r="B36" s="168">
        <f>G14*G24-M14*M24</f>
        <v>2.5356984235358482E-4</v>
      </c>
      <c r="C36" s="168">
        <v>0.28420941450762771</v>
      </c>
      <c r="D36" s="155"/>
      <c r="R36" s="156" t="s">
        <v>216</v>
      </c>
    </row>
    <row r="37" spans="1:18">
      <c r="A37" s="170" t="s">
        <v>201</v>
      </c>
      <c r="B37" s="168">
        <f>G15*G25-M15*M25</f>
        <v>0</v>
      </c>
      <c r="C37" s="168">
        <v>0.97303263263832951</v>
      </c>
      <c r="D37" s="155"/>
      <c r="R37" s="156" t="s">
        <v>217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219</v>
      </c>
      <c r="I39" s="161">
        <v>-3.3096609259584214E-2</v>
      </c>
    </row>
    <row r="40" spans="1:18" ht="15">
      <c r="A40" s="168" t="s">
        <v>52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5">
      <c r="A41" s="170" t="s">
        <v>206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5">
      <c r="A42" s="170" t="s">
        <v>207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 ht="16">
      <c r="A43" s="168" t="s">
        <v>205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 ht="16">
      <c r="A44" s="168" t="s">
        <v>208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 ht="15">
      <c r="A45" s="168" t="s">
        <v>254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 ht="15">
      <c r="A46" s="168" t="s">
        <v>255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211</v>
      </c>
    </row>
    <row r="48" spans="1:18" ht="16">
      <c r="A48" s="180" t="s">
        <v>218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>
      <c r="A49" s="157"/>
      <c r="B49" s="155"/>
      <c r="C49" s="155"/>
      <c r="D49" s="155"/>
    </row>
    <row r="50" spans="1:16">
      <c r="A50" s="157"/>
      <c r="B50" s="155"/>
      <c r="C50" s="155"/>
      <c r="D50" s="155"/>
    </row>
    <row r="51" spans="1:16">
      <c r="A51" s="157"/>
      <c r="B51" s="155"/>
      <c r="C51" s="155"/>
      <c r="D51" s="155"/>
    </row>
    <row r="52" spans="1:16" ht="15">
      <c r="A52" s="156" t="s">
        <v>223</v>
      </c>
    </row>
    <row r="53" spans="1:16">
      <c r="A53" s="156" t="s">
        <v>307</v>
      </c>
    </row>
    <row r="54" spans="1:16" ht="16">
      <c r="A54" s="171" t="s">
        <v>205</v>
      </c>
      <c r="B54" s="171">
        <f>10^($D$10-$E$10/(58.3+$F$10))</f>
        <v>591.28789496549302</v>
      </c>
      <c r="D54" s="172" t="s">
        <v>206</v>
      </c>
      <c r="E54" s="156">
        <f>$I$13/B54</f>
        <v>1.2853298815534737</v>
      </c>
      <c r="G54" s="156" t="s">
        <v>221</v>
      </c>
      <c r="H54" s="156">
        <f>LN(E54)*(1+0.386*LN(E55)/0.614/LN(E54))^2</f>
        <v>1.9847477282664872</v>
      </c>
    </row>
    <row r="55" spans="1:16" ht="16">
      <c r="A55" s="171" t="s">
        <v>208</v>
      </c>
      <c r="B55" s="171">
        <f>10^($D$11-$E$11/(58.3+$F$11))</f>
        <v>368.65078598834526</v>
      </c>
      <c r="D55" s="182" t="s">
        <v>207</v>
      </c>
      <c r="E55" s="156">
        <f>$I$13/B55</f>
        <v>2.0615716251966085</v>
      </c>
      <c r="G55" s="156" t="s">
        <v>222</v>
      </c>
      <c r="H55" s="156">
        <f>LN(E55)*(1+0.614*LN(E54)/0.386/LN(E55))^2</f>
        <v>1.7424010368337413</v>
      </c>
    </row>
    <row r="56" spans="1:16" ht="15">
      <c r="A56" s="168" t="s">
        <v>52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5">
      <c r="A57" s="170" t="s">
        <v>206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5">
      <c r="A58" s="170" t="s">
        <v>207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 ht="16">
      <c r="A59" s="168" t="s">
        <v>205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 ht="16">
      <c r="A60" s="168" t="s">
        <v>208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 ht="15">
      <c r="A61" s="168" t="s">
        <v>254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 ht="15">
      <c r="A62" s="168" t="s">
        <v>255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211</v>
      </c>
    </row>
    <row r="64" spans="1:16" ht="16">
      <c r="A64" s="180" t="s">
        <v>218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>
      <c r="A68" s="155"/>
      <c r="B68" s="159"/>
      <c r="C68" s="158"/>
      <c r="D68" s="158"/>
      <c r="E68" s="158"/>
      <c r="F68" s="158"/>
    </row>
    <row r="69" spans="1:16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8"/>
  <sheetViews>
    <sheetView workbookViewId="0">
      <selection activeCell="A2" sqref="A2"/>
    </sheetView>
  </sheetViews>
  <sheetFormatPr baseColWidth="10" defaultColWidth="8" defaultRowHeight="13"/>
  <cols>
    <col min="1" max="16384" width="8" style="263"/>
  </cols>
  <sheetData>
    <row r="1" spans="2:7">
      <c r="B1" s="263" t="s">
        <v>332</v>
      </c>
      <c r="F1" s="263" t="s">
        <v>331</v>
      </c>
    </row>
    <row r="2" spans="2:7" ht="15">
      <c r="C2" s="264" t="s">
        <v>336</v>
      </c>
      <c r="D2" s="279">
        <v>200</v>
      </c>
      <c r="F2" s="264" t="s">
        <v>339</v>
      </c>
      <c r="G2" s="263">
        <f>D2/D5</f>
        <v>0.67080328693610602</v>
      </c>
    </row>
    <row r="3" spans="2:7" ht="15">
      <c r="C3" s="264" t="s">
        <v>337</v>
      </c>
      <c r="D3" s="279">
        <v>200</v>
      </c>
      <c r="F3" s="264" t="s">
        <v>340</v>
      </c>
      <c r="G3" s="263">
        <f>D3/D5</f>
        <v>0.67080328693610602</v>
      </c>
    </row>
    <row r="4" spans="2:7" ht="15">
      <c r="C4" s="264" t="s">
        <v>338</v>
      </c>
      <c r="D4" s="279">
        <v>0.2</v>
      </c>
      <c r="F4" s="269" t="s">
        <v>341</v>
      </c>
      <c r="G4" s="263">
        <f>EXP(-D4*G2)</f>
        <v>0.87444956653499373</v>
      </c>
    </row>
    <row r="5" spans="2:7" ht="15">
      <c r="C5" s="280" t="s">
        <v>333</v>
      </c>
      <c r="D5" s="279">
        <v>298.14999999999998</v>
      </c>
      <c r="F5" s="269" t="s">
        <v>342</v>
      </c>
      <c r="G5" s="263">
        <f>EXP(-D4*G3)</f>
        <v>0.87444956653499373</v>
      </c>
    </row>
    <row r="7" spans="2:7">
      <c r="B7" s="263" t="s">
        <v>28</v>
      </c>
      <c r="C7" s="280" t="s">
        <v>29</v>
      </c>
      <c r="D7" s="264" t="s">
        <v>334</v>
      </c>
      <c r="E7" s="264" t="s">
        <v>335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8"/>
  <sheetViews>
    <sheetView workbookViewId="0"/>
  </sheetViews>
  <sheetFormatPr baseColWidth="10" defaultColWidth="8" defaultRowHeight="13"/>
  <cols>
    <col min="1" max="16384" width="8" style="263"/>
  </cols>
  <sheetData>
    <row r="1" spans="2:14">
      <c r="B1" s="263" t="s">
        <v>312</v>
      </c>
    </row>
    <row r="2" spans="2:14">
      <c r="B2" s="263" t="s">
        <v>313</v>
      </c>
    </row>
    <row r="3" spans="2:14" ht="15">
      <c r="B3" s="264" t="s">
        <v>343</v>
      </c>
    </row>
    <row r="5" spans="2:14">
      <c r="B5" s="265" t="s">
        <v>38</v>
      </c>
      <c r="C5" s="266">
        <v>298.14999999999998</v>
      </c>
    </row>
    <row r="6" spans="2:14">
      <c r="B6" s="265" t="s">
        <v>80</v>
      </c>
      <c r="C6" s="266" t="s">
        <v>314</v>
      </c>
      <c r="D6" s="266" t="s">
        <v>132</v>
      </c>
      <c r="E6" s="266" t="s">
        <v>315</v>
      </c>
      <c r="F6" s="266" t="s">
        <v>169</v>
      </c>
      <c r="G6" s="266" t="s">
        <v>316</v>
      </c>
    </row>
    <row r="7" spans="2:14">
      <c r="B7" s="265" t="s">
        <v>85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317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331</v>
      </c>
    </row>
    <row r="10" spans="2:14">
      <c r="B10" s="263" t="s">
        <v>318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319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320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321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>
      <c r="B24" s="264" t="s">
        <v>330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322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323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324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325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326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327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328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329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P31"/>
  <sheetViews>
    <sheetView showGridLines="0" zoomScale="150" zoomScaleNormal="150" zoomScalePageLayoutView="150" workbookViewId="0">
      <selection activeCell="A2" sqref="A2"/>
    </sheetView>
  </sheetViews>
  <sheetFormatPr baseColWidth="10" defaultColWidth="9.1640625" defaultRowHeight="13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250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50</v>
      </c>
      <c r="B6" s="27">
        <v>1.43</v>
      </c>
      <c r="C6" s="27">
        <v>1.43</v>
      </c>
      <c r="D6" s="27">
        <f>_q1</f>
        <v>1.43</v>
      </c>
      <c r="E6" s="24">
        <f>5*(_r1-_q1)-(_r1-1)</f>
        <v>-0.42999999999999994</v>
      </c>
      <c r="F6" s="24">
        <f>_l1-_r1*_l2/_r2</f>
        <v>-1.2189655172413794</v>
      </c>
      <c r="H6" s="27">
        <v>-32.78</v>
      </c>
      <c r="I6" s="27">
        <v>529.57000000000005</v>
      </c>
    </row>
    <row r="7" spans="1:16">
      <c r="A7" s="26" t="s">
        <v>51</v>
      </c>
      <c r="B7" s="27">
        <v>3.19</v>
      </c>
      <c r="C7" s="27">
        <v>2.4</v>
      </c>
      <c r="D7" s="27">
        <f>_q2</f>
        <v>2.4</v>
      </c>
      <c r="E7" s="24">
        <f>5*(_r2-_q2)-(_r2-1)</f>
        <v>1.7600000000000002</v>
      </c>
      <c r="F7" s="24">
        <f>_l2-_r2*_l1/_r1</f>
        <v>2.7192307692307693</v>
      </c>
    </row>
    <row r="8" spans="1:16">
      <c r="B8" s="23" t="s">
        <v>27</v>
      </c>
      <c r="C8" s="28"/>
      <c r="D8" s="17">
        <v>0.05</v>
      </c>
    </row>
    <row r="10" spans="1:16" ht="15">
      <c r="A10" s="4" t="s">
        <v>52</v>
      </c>
      <c r="B10" s="29" t="s">
        <v>53</v>
      </c>
      <c r="C10" s="29" t="s">
        <v>54</v>
      </c>
      <c r="D10" s="4" t="s">
        <v>38</v>
      </c>
      <c r="E10" s="4" t="s">
        <v>55</v>
      </c>
      <c r="F10" s="4" t="s">
        <v>56</v>
      </c>
      <c r="G10" s="4" t="s">
        <v>57</v>
      </c>
      <c r="H10" s="4" t="s">
        <v>58</v>
      </c>
      <c r="I10" s="4" t="s">
        <v>59</v>
      </c>
      <c r="J10" s="4" t="s">
        <v>60</v>
      </c>
      <c r="K10" s="4" t="s">
        <v>61</v>
      </c>
      <c r="L10" s="4" t="s">
        <v>62</v>
      </c>
      <c r="M10" s="4" t="s">
        <v>63</v>
      </c>
      <c r="N10" s="4" t="s">
        <v>64</v>
      </c>
      <c r="O10" s="4" t="s">
        <v>65</v>
      </c>
      <c r="P10" s="4" t="s">
        <v>66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1.0944650777257738</v>
      </c>
      <c r="F11" s="5">
        <f t="shared" ref="F11:F31" si="2">EXP(-A21../_T)</f>
        <v>0.23263887199560943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1.9634741768082722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7.1240342763596836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1.0944650777257738</v>
      </c>
      <c r="F12" s="5">
        <f t="shared" si="2"/>
        <v>0.23263887199560943</v>
      </c>
      <c r="G12" s="5">
        <f t="shared" si="3"/>
        <v>3.0406123750797365E-2</v>
      </c>
      <c r="H12" s="5">
        <f t="shared" si="4"/>
        <v>0.96959387624920268</v>
      </c>
      <c r="I12" s="5">
        <f t="shared" si="5"/>
        <v>3.0406123750797365E-2</v>
      </c>
      <c r="J12" s="5">
        <f t="shared" si="6"/>
        <v>0.96959387624920268</v>
      </c>
      <c r="K12" s="5">
        <f t="shared" si="7"/>
        <v>2.3049645390070921E-2</v>
      </c>
      <c r="L12" s="5">
        <f t="shared" si="8"/>
        <v>0.97695035460992907</v>
      </c>
      <c r="M12" s="5">
        <f t="shared" ref="M12:M27" si="13">LN(_phi1/_x1)+5*_q1*LN(theta1/_phi1)+_phi2*(_lf1)-_qp1*LN(thetap1+thetap2*_tau21)+thetap2*_qp1*(_tau21/(thetap1+thetap2*_tau21)-_tau12/(thetap2+thetap1*_tau12))</f>
        <v>1.7108931200150137</v>
      </c>
      <c r="N12" s="5">
        <f t="shared" si="9"/>
        <v>6.3816833738385955E-3</v>
      </c>
      <c r="O12" s="5">
        <f t="shared" si="10"/>
        <v>5.5339017095635352</v>
      </c>
      <c r="P12" s="5">
        <f t="shared" si="10"/>
        <v>1.0064020897009918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1.0944650777257738</v>
      </c>
      <c r="F13" s="5">
        <f t="shared" si="2"/>
        <v>0.23263887199560943</v>
      </c>
      <c r="G13" s="5">
        <f t="shared" si="3"/>
        <v>6.2092922275293096E-2</v>
      </c>
      <c r="H13" s="5">
        <f t="shared" si="4"/>
        <v>0.93790707772470694</v>
      </c>
      <c r="I13" s="5">
        <f t="shared" si="5"/>
        <v>6.2092922275293096E-2</v>
      </c>
      <c r="J13" s="5">
        <f t="shared" si="6"/>
        <v>0.93790707772470694</v>
      </c>
      <c r="K13" s="5">
        <f t="shared" si="7"/>
        <v>4.7445255474452552E-2</v>
      </c>
      <c r="L13" s="5">
        <f t="shared" si="8"/>
        <v>0.95255474452554756</v>
      </c>
      <c r="M13" s="5">
        <f t="shared" si="13"/>
        <v>1.4897621530924539</v>
      </c>
      <c r="N13" s="5">
        <f t="shared" si="9"/>
        <v>2.4230403685123695E-2</v>
      </c>
      <c r="O13" s="5">
        <f t="shared" si="10"/>
        <v>4.4360402950518338</v>
      </c>
      <c r="P13" s="5">
        <f t="shared" si="10"/>
        <v>1.0245263453442535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1.0944650777257738</v>
      </c>
      <c r="F14" s="5">
        <f t="shared" si="2"/>
        <v>0.23263887199560943</v>
      </c>
      <c r="G14" s="5">
        <f t="shared" si="3"/>
        <v>9.5143047238855624E-2</v>
      </c>
      <c r="H14" s="5">
        <f t="shared" si="4"/>
        <v>0.90485695276114431</v>
      </c>
      <c r="I14" s="5">
        <f t="shared" si="5"/>
        <v>9.5143047238855624E-2</v>
      </c>
      <c r="J14" s="5">
        <f t="shared" si="6"/>
        <v>0.90485695276114431</v>
      </c>
      <c r="K14" s="5">
        <f t="shared" si="7"/>
        <v>7.3308270676691739E-2</v>
      </c>
      <c r="L14" s="5">
        <f t="shared" si="8"/>
        <v>0.92669172932330823</v>
      </c>
      <c r="M14" s="5">
        <f t="shared" si="13"/>
        <v>1.2948070243696219</v>
      </c>
      <c r="N14" s="5">
        <f t="shared" si="9"/>
        <v>5.2011370546609058E-2</v>
      </c>
      <c r="O14" s="5">
        <f t="shared" si="10"/>
        <v>3.6502914888680853</v>
      </c>
      <c r="P14" s="5">
        <f t="shared" si="10"/>
        <v>1.0533877200394373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1.0944650777257738</v>
      </c>
      <c r="F15" s="5">
        <f t="shared" si="2"/>
        <v>0.23263887199560943</v>
      </c>
      <c r="G15" s="5">
        <f t="shared" si="3"/>
        <v>0.12964641885766093</v>
      </c>
      <c r="H15" s="5">
        <f t="shared" si="4"/>
        <v>0.87035358114233907</v>
      </c>
      <c r="I15" s="5">
        <f t="shared" si="5"/>
        <v>0.12964641885766093</v>
      </c>
      <c r="J15" s="5">
        <f t="shared" si="6"/>
        <v>0.87035358114233907</v>
      </c>
      <c r="K15" s="5">
        <f t="shared" si="7"/>
        <v>0.1007751937984496</v>
      </c>
      <c r="L15" s="5">
        <f t="shared" si="8"/>
        <v>0.89922480620155043</v>
      </c>
      <c r="M15" s="5">
        <f t="shared" si="13"/>
        <v>1.1219761088353655</v>
      </c>
      <c r="N15" s="5">
        <f t="shared" si="9"/>
        <v>8.8611690192485243E-2</v>
      </c>
      <c r="O15" s="5">
        <f t="shared" si="10"/>
        <v>3.0709166768441776</v>
      </c>
      <c r="P15" s="5">
        <f t="shared" si="10"/>
        <v>1.092656284786222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1.0944650777257738</v>
      </c>
      <c r="F16" s="5">
        <f t="shared" si="2"/>
        <v>0.23263887199560943</v>
      </c>
      <c r="G16" s="5">
        <f t="shared" si="3"/>
        <v>0.16570104287369641</v>
      </c>
      <c r="H16" s="5">
        <f t="shared" si="4"/>
        <v>0.83429895712630364</v>
      </c>
      <c r="I16" s="5">
        <f t="shared" si="5"/>
        <v>0.16570104287369641</v>
      </c>
      <c r="J16" s="5">
        <f t="shared" si="6"/>
        <v>0.83429895712630364</v>
      </c>
      <c r="K16" s="5">
        <f t="shared" si="7"/>
        <v>0.13</v>
      </c>
      <c r="L16" s="5">
        <f t="shared" si="8"/>
        <v>0.87</v>
      </c>
      <c r="M16" s="5">
        <f t="shared" si="13"/>
        <v>0.96810865514860478</v>
      </c>
      <c r="N16" s="5">
        <f t="shared" si="9"/>
        <v>0.13322959196444722</v>
      </c>
      <c r="O16" s="5">
        <f t="shared" si="10"/>
        <v>2.6329599119176392</v>
      </c>
      <c r="P16" s="5">
        <f t="shared" si="10"/>
        <v>1.1425122798596143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1.0944650777257738</v>
      </c>
      <c r="F17" s="5">
        <f t="shared" si="2"/>
        <v>0.23263887199560943</v>
      </c>
      <c r="G17" s="5">
        <f t="shared" si="3"/>
        <v>0.20341394025604551</v>
      </c>
      <c r="H17" s="5">
        <f t="shared" si="4"/>
        <v>0.79658605974395447</v>
      </c>
      <c r="I17" s="5">
        <f t="shared" si="5"/>
        <v>0.20341394025604551</v>
      </c>
      <c r="J17" s="5">
        <f t="shared" si="6"/>
        <v>0.79658605974395447</v>
      </c>
      <c r="K17" s="5">
        <f t="shared" si="7"/>
        <v>0.16115702479338845</v>
      </c>
      <c r="L17" s="5">
        <f t="shared" si="8"/>
        <v>0.83884297520661155</v>
      </c>
      <c r="M17" s="5">
        <f t="shared" si="13"/>
        <v>0.83070741455138364</v>
      </c>
      <c r="N17" s="5">
        <f t="shared" si="9"/>
        <v>0.18530043271313765</v>
      </c>
      <c r="O17" s="5">
        <f t="shared" si="10"/>
        <v>2.2949416412762225</v>
      </c>
      <c r="P17" s="5">
        <f t="shared" si="10"/>
        <v>1.2035799806147356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1.0944650777257738</v>
      </c>
      <c r="F18" s="5">
        <f t="shared" si="2"/>
        <v>0.23263887199560943</v>
      </c>
      <c r="G18" s="5">
        <f t="shared" si="3"/>
        <v>0.24290220820189271</v>
      </c>
      <c r="H18" s="5">
        <f t="shared" si="4"/>
        <v>0.75709779179810721</v>
      </c>
      <c r="I18" s="5">
        <f t="shared" si="5"/>
        <v>0.24290220820189271</v>
      </c>
      <c r="J18" s="5">
        <f t="shared" si="6"/>
        <v>0.75709779179810721</v>
      </c>
      <c r="K18" s="5">
        <f t="shared" si="7"/>
        <v>0.19444444444444445</v>
      </c>
      <c r="L18" s="5">
        <f t="shared" si="8"/>
        <v>0.80555555555555569</v>
      </c>
      <c r="M18" s="5">
        <f t="shared" si="13"/>
        <v>0.70777936598416336</v>
      </c>
      <c r="N18" s="5">
        <f t="shared" si="9"/>
        <v>0.24444683302015377</v>
      </c>
      <c r="O18" s="5">
        <f t="shared" si="10"/>
        <v>2.0294795197843092</v>
      </c>
      <c r="P18" s="5">
        <f t="shared" si="10"/>
        <v>1.2769147707176773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1.0944650777257738</v>
      </c>
      <c r="F19" s="5">
        <f t="shared" si="2"/>
        <v>0.23263887199560943</v>
      </c>
      <c r="G19" s="5">
        <f t="shared" si="3"/>
        <v>0.28429423459244529</v>
      </c>
      <c r="H19" s="5">
        <f t="shared" si="4"/>
        <v>0.71570576540755471</v>
      </c>
      <c r="I19" s="5">
        <f t="shared" si="5"/>
        <v>0.28429423459244529</v>
      </c>
      <c r="J19" s="5">
        <f t="shared" si="6"/>
        <v>0.71570576540755471</v>
      </c>
      <c r="K19" s="5">
        <f t="shared" si="7"/>
        <v>0.23008849557522121</v>
      </c>
      <c r="L19" s="5">
        <f t="shared" si="8"/>
        <v>0.76991150442477874</v>
      </c>
      <c r="M19" s="5">
        <f t="shared" si="13"/>
        <v>0.59772209603934934</v>
      </c>
      <c r="N19" s="5">
        <f t="shared" si="9"/>
        <v>0.31044526264389755</v>
      </c>
      <c r="O19" s="5">
        <f t="shared" si="10"/>
        <v>1.8179729125182236</v>
      </c>
      <c r="P19" s="5">
        <f t="shared" si="10"/>
        <v>1.3640323315788432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1.0944650777257738</v>
      </c>
      <c r="F20" s="5">
        <f t="shared" si="2"/>
        <v>0.23263887199560943</v>
      </c>
      <c r="G20" s="5">
        <f t="shared" si="3"/>
        <v>0.32773109243697479</v>
      </c>
      <c r="H20" s="5">
        <f t="shared" si="4"/>
        <v>0.67226890756302526</v>
      </c>
      <c r="I20" s="5">
        <f t="shared" si="5"/>
        <v>0.32773109243697479</v>
      </c>
      <c r="J20" s="5">
        <f t="shared" si="6"/>
        <v>0.67226890756302526</v>
      </c>
      <c r="K20" s="5">
        <f t="shared" si="7"/>
        <v>0.26834862385321095</v>
      </c>
      <c r="L20" s="5">
        <f t="shared" si="8"/>
        <v>0.73165137614678899</v>
      </c>
      <c r="M20" s="5">
        <f t="shared" si="13"/>
        <v>0.49924158135247731</v>
      </c>
      <c r="N20" s="5">
        <f t="shared" si="9"/>
        <v>0.38320434287683136</v>
      </c>
      <c r="O20" s="5">
        <f t="shared" si="10"/>
        <v>1.6474713237952965</v>
      </c>
      <c r="P20" s="5">
        <f t="shared" si="10"/>
        <v>1.4669777658998462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1.0944650777257738</v>
      </c>
      <c r="F21" s="5">
        <f t="shared" si="2"/>
        <v>0.23263887199560943</v>
      </c>
      <c r="G21" s="5">
        <f t="shared" si="3"/>
        <v>0.37336814621409919</v>
      </c>
      <c r="H21" s="5">
        <f t="shared" si="4"/>
        <v>0.62663185378590081</v>
      </c>
      <c r="I21" s="5">
        <f t="shared" si="5"/>
        <v>0.37336814621409919</v>
      </c>
      <c r="J21" s="5">
        <f t="shared" si="6"/>
        <v>0.62663185378590081</v>
      </c>
      <c r="K21" s="5">
        <f t="shared" si="7"/>
        <v>0.30952380952380953</v>
      </c>
      <c r="L21" s="5">
        <f t="shared" si="8"/>
        <v>0.69047619047619058</v>
      </c>
      <c r="M21" s="5">
        <f t="shared" si="13"/>
        <v>0.41129212312285479</v>
      </c>
      <c r="N21" s="5">
        <f t="shared" si="9"/>
        <v>0.46275196685770459</v>
      </c>
      <c r="O21" s="5">
        <f t="shared" si="10"/>
        <v>1.5087660376349292</v>
      </c>
      <c r="P21" s="5">
        <f t="shared" si="10"/>
        <v>1.5884393079583994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1.0944650777257738</v>
      </c>
      <c r="F22" s="5">
        <f t="shared" si="2"/>
        <v>0.23263887199560943</v>
      </c>
      <c r="G22" s="5">
        <f t="shared" si="3"/>
        <v>0.42137690865255822</v>
      </c>
      <c r="H22" s="5">
        <f t="shared" si="4"/>
        <v>0.57862309134744183</v>
      </c>
      <c r="I22" s="5">
        <f t="shared" si="5"/>
        <v>0.42137690865255822</v>
      </c>
      <c r="J22" s="5">
        <f t="shared" si="6"/>
        <v>0.57862309134744183</v>
      </c>
      <c r="K22" s="5">
        <f t="shared" si="7"/>
        <v>0.35396039603960389</v>
      </c>
      <c r="L22" s="5">
        <f t="shared" si="8"/>
        <v>0.64603960396039617</v>
      </c>
      <c r="M22" s="5">
        <f t="shared" si="13"/>
        <v>0.33303233511244446</v>
      </c>
      <c r="N22" s="5">
        <f t="shared" si="9"/>
        <v>0.54922954363986154</v>
      </c>
      <c r="O22" s="5">
        <f t="shared" si="10"/>
        <v>1.3951924114439389</v>
      </c>
      <c r="P22" s="5">
        <f t="shared" si="10"/>
        <v>1.7319181363560578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1.0944650777257738</v>
      </c>
      <c r="F23" s="5">
        <f t="shared" si="2"/>
        <v>0.23263887199560943</v>
      </c>
      <c r="G23" s="5">
        <f t="shared" si="3"/>
        <v>0.47194719471947194</v>
      </c>
      <c r="H23" s="5">
        <f t="shared" si="4"/>
        <v>0.528052805280528</v>
      </c>
      <c r="I23" s="5">
        <f t="shared" si="5"/>
        <v>0.47194719471947194</v>
      </c>
      <c r="J23" s="5">
        <f t="shared" si="6"/>
        <v>0.528052805280528</v>
      </c>
      <c r="K23" s="5">
        <f t="shared" si="7"/>
        <v>0.40206185567010311</v>
      </c>
      <c r="L23" s="5">
        <f t="shared" si="8"/>
        <v>0.59793814432989689</v>
      </c>
      <c r="M23" s="5">
        <f t="shared" si="13"/>
        <v>0.2637931383644877</v>
      </c>
      <c r="N23" s="5">
        <f t="shared" si="9"/>
        <v>0.64289252873174552</v>
      </c>
      <c r="O23" s="5">
        <f t="shared" si="10"/>
        <v>1.3018588637908028</v>
      </c>
      <c r="P23" s="5">
        <f t="shared" si="10"/>
        <v>1.9019744460571204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1.0944650777257738</v>
      </c>
      <c r="F24" s="5">
        <f t="shared" si="2"/>
        <v>0.23263887199560943</v>
      </c>
      <c r="G24" s="5">
        <f t="shared" si="3"/>
        <v>0.52528962983893757</v>
      </c>
      <c r="H24" s="5">
        <f t="shared" si="4"/>
        <v>0.47471037016106249</v>
      </c>
      <c r="I24" s="5">
        <f t="shared" si="5"/>
        <v>0.52528962983893757</v>
      </c>
      <c r="J24" s="5">
        <f t="shared" si="6"/>
        <v>0.47471037016106249</v>
      </c>
      <c r="K24" s="5">
        <f t="shared" si="7"/>
        <v>0.45430107526881724</v>
      </c>
      <c r="L24" s="5">
        <f t="shared" si="8"/>
        <v>0.54569892473118276</v>
      </c>
      <c r="M24" s="5">
        <f t="shared" si="13"/>
        <v>0.20305510579186775</v>
      </c>
      <c r="N24" s="5">
        <f t="shared" si="9"/>
        <v>0.74411708726302783</v>
      </c>
      <c r="O24" s="5">
        <f t="shared" si="10"/>
        <v>1.2251399786960486</v>
      </c>
      <c r="P24" s="5">
        <f t="shared" si="10"/>
        <v>2.1045824517888274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1.0944650777257738</v>
      </c>
      <c r="F25" s="5">
        <f t="shared" si="2"/>
        <v>0.23263887199560943</v>
      </c>
      <c r="G25" s="5">
        <f t="shared" si="3"/>
        <v>0.58163858221963982</v>
      </c>
      <c r="H25" s="5">
        <f t="shared" si="4"/>
        <v>0.41836141778036018</v>
      </c>
      <c r="I25" s="5">
        <f t="shared" si="5"/>
        <v>0.58163858221963982</v>
      </c>
      <c r="J25" s="5">
        <f t="shared" si="6"/>
        <v>0.41836141778036018</v>
      </c>
      <c r="K25" s="5">
        <f t="shared" si="7"/>
        <v>0.51123595505617991</v>
      </c>
      <c r="L25" s="5">
        <f t="shared" si="8"/>
        <v>0.48876404494382014</v>
      </c>
      <c r="M25" s="5">
        <f t="shared" si="13"/>
        <v>0.15043349479376045</v>
      </c>
      <c r="N25" s="5">
        <f t="shared" si="9"/>
        <v>0.853413368741611</v>
      </c>
      <c r="O25" s="5">
        <f t="shared" si="10"/>
        <v>1.1623380010041247</v>
      </c>
      <c r="P25" s="5">
        <f t="shared" si="10"/>
        <v>2.3476465745912871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1.0944650777257738</v>
      </c>
      <c r="F26" s="5">
        <f t="shared" si="2"/>
        <v>0.23263887199560943</v>
      </c>
      <c r="G26" s="5">
        <f t="shared" si="3"/>
        <v>0.64125560538116599</v>
      </c>
      <c r="H26" s="5">
        <f t="shared" si="4"/>
        <v>0.35874439461883395</v>
      </c>
      <c r="I26" s="5">
        <f t="shared" si="5"/>
        <v>0.64125560538116599</v>
      </c>
      <c r="J26" s="5">
        <f t="shared" si="6"/>
        <v>0.35874439461883395</v>
      </c>
      <c r="K26" s="5">
        <f t="shared" si="7"/>
        <v>0.57352941176470595</v>
      </c>
      <c r="L26" s="5">
        <f t="shared" si="8"/>
        <v>0.42647058823529399</v>
      </c>
      <c r="M26" s="5">
        <f t="shared" si="13"/>
        <v>0.10567008036690112</v>
      </c>
      <c r="N26" s="5">
        <f t="shared" si="9"/>
        <v>0.97144655959607207</v>
      </c>
      <c r="O26" s="5">
        <f t="shared" si="10"/>
        <v>1.1114551251435267</v>
      </c>
      <c r="P26" s="5">
        <f t="shared" si="10"/>
        <v>2.6417631645521631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1.0944650777257738</v>
      </c>
      <c r="F27" s="5">
        <f t="shared" si="2"/>
        <v>0.23263887199560943</v>
      </c>
      <c r="G27" s="5">
        <f t="shared" si="3"/>
        <v>0.70443349753694606</v>
      </c>
      <c r="H27" s="5">
        <f t="shared" si="4"/>
        <v>0.29556650246305399</v>
      </c>
      <c r="I27" s="5">
        <f t="shared" si="5"/>
        <v>0.70443349753694606</v>
      </c>
      <c r="J27" s="5">
        <f t="shared" si="6"/>
        <v>0.29556650246305399</v>
      </c>
      <c r="K27" s="5">
        <f t="shared" si="7"/>
        <v>0.6419753086419755</v>
      </c>
      <c r="L27" s="5">
        <f t="shared" si="8"/>
        <v>0.35802469135802445</v>
      </c>
      <c r="M27" s="5">
        <f t="shared" si="13"/>
        <v>6.8631581952117604E-2</v>
      </c>
      <c r="N27" s="5">
        <f>LN(_phi2/_x2)+5*_q2*LN(theta2/_phi2)+_phi1*(_lf2)-_qp2*LN(thetap2+thetap1*_tau12)+thetap1*_qp2*(_tau12/(thetap2+thetap1*_tau12)-_tau21/(thetap1+thetap2*_tau21))</f>
        <v>1.0990677344954589</v>
      </c>
      <c r="O27" s="5">
        <f t="shared" si="10"/>
        <v>1.0710415454168261</v>
      </c>
      <c r="P27" s="5">
        <f t="shared" si="10"/>
        <v>3.0013666486756425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1.0944650777257738</v>
      </c>
      <c r="F28" s="5">
        <f t="shared" si="2"/>
        <v>0.23263887199560943</v>
      </c>
      <c r="G28" s="5">
        <f t="shared" si="3"/>
        <v>0.77150111075848971</v>
      </c>
      <c r="H28" s="5">
        <f t="shared" si="4"/>
        <v>0.22849888924151035</v>
      </c>
      <c r="I28" s="5">
        <f t="shared" si="5"/>
        <v>0.77150111075848971</v>
      </c>
      <c r="J28" s="5">
        <f t="shared" si="6"/>
        <v>0.22849888924151035</v>
      </c>
      <c r="K28" s="5">
        <f t="shared" si="7"/>
        <v>0.71753246753246791</v>
      </c>
      <c r="L28" s="5">
        <f t="shared" si="8"/>
        <v>0.2824675324675322</v>
      </c>
      <c r="M28" s="5">
        <f>LN(_phi1/_x1)+5*_q1*LN(theta1/_phi1)+_phi2*(_lf1)-_qp1*LN(thetap1+thetap2*_tau21)+thetap2*_qp1*(_tau21/(thetap1+thetap2*_tau21)-_tau12/(thetap2+thetap1*_tau12))</f>
        <v>3.9315175695969679E-2</v>
      </c>
      <c r="N28" s="5">
        <f>LN(_phi2/_x2)+5*_q2*LN(theta2/_phi2)+_phi1*(_lf2)-_qp2*LN(thetap2+thetap1*_tau12)+thetap1*_qp2*(_tau12/(thetap2+thetap1*_tau12)-_tau21/(thetap1+thetap2*_tau21))</f>
        <v>1.2373576982703736</v>
      </c>
      <c r="O28" s="5">
        <f t="shared" si="10"/>
        <v>1.0400982456845915</v>
      </c>
      <c r="P28" s="5">
        <f t="shared" si="10"/>
        <v>3.4464947438392382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1.0944650777257738</v>
      </c>
      <c r="F29" s="5">
        <f t="shared" si="2"/>
        <v>0.23263887199560943</v>
      </c>
      <c r="G29" s="5">
        <f t="shared" si="3"/>
        <v>0.84282907662082551</v>
      </c>
      <c r="H29" s="5">
        <f t="shared" si="4"/>
        <v>0.15717092337917449</v>
      </c>
      <c r="I29" s="5">
        <f t="shared" si="5"/>
        <v>0.84282907662082551</v>
      </c>
      <c r="J29" s="5">
        <f t="shared" si="6"/>
        <v>0.15717092337917449</v>
      </c>
      <c r="K29" s="5">
        <f t="shared" si="7"/>
        <v>0.80136986301369906</v>
      </c>
      <c r="L29" s="5">
        <f t="shared" si="8"/>
        <v>0.19863013698630094</v>
      </c>
      <c r="M29" s="5">
        <f>LN(_phi1/_x1)+5*_q1*LN(theta1/_phi1)+_phi2*(_lf1)-_qp1*LN(thetap1+thetap2*_tau21)+thetap2*_qp1*(_tau21/(thetap1+thetap2*_tau21)-_tau12/(thetap2+thetap1*_tau12))</f>
        <v>1.7862422080182516E-2</v>
      </c>
      <c r="N29" s="5">
        <f>LN(_phi2/_x2)+5*_q2*LN(theta2/_phi2)+_phi1*(_lf2)-_qp2*LN(thetap2+thetap1*_tau12)+thetap1*_qp2*(_tau12/(thetap2+thetap1*_tau12)-_tau21/(thetap1+thetap2*_tau21))</f>
        <v>1.3876887184874542</v>
      </c>
      <c r="O29" s="5">
        <f t="shared" si="10"/>
        <v>1.0180229092807584</v>
      </c>
      <c r="P29" s="5">
        <f t="shared" si="10"/>
        <v>4.0055813197431247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1.0944650777257738</v>
      </c>
      <c r="F30" s="5">
        <f t="shared" si="2"/>
        <v>0.23263887199560943</v>
      </c>
      <c r="G30" s="5">
        <f t="shared" si="3"/>
        <v>0.9188366587757868</v>
      </c>
      <c r="H30" s="5">
        <f t="shared" si="4"/>
        <v>8.1163341224213287E-2</v>
      </c>
      <c r="I30" s="5">
        <f t="shared" si="5"/>
        <v>0.9188366587757868</v>
      </c>
      <c r="J30" s="5">
        <f t="shared" si="6"/>
        <v>8.1163341224213287E-2</v>
      </c>
      <c r="K30" s="5">
        <f t="shared" si="7"/>
        <v>0.89492753623188459</v>
      </c>
      <c r="L30" s="5">
        <f t="shared" si="8"/>
        <v>0.10507246376811538</v>
      </c>
      <c r="M30" s="5">
        <f>LN(_phi1/_x1)+5*_q1*LN(theta1/_phi1)+_phi2*(_lf1)-_qp1*LN(thetap1+thetap2*_tau21)+thetap2*_qp1*(_tau21/(thetap1+thetap2*_tau21)-_tau12/(thetap2+thetap1*_tau12))</f>
        <v>4.5840820808010357E-3</v>
      </c>
      <c r="N30" s="5">
        <f>LN(_phi2/_x2)+5*_q2*LN(theta2/_phi2)+_phi1*(_lf2)-_qp2*LN(thetap2+thetap1*_tau12)+thetap1*_qp2*(_tau12/(thetap2+thetap1*_tau12)-_tau21/(thetap1+thetap2*_tau21))</f>
        <v>1.5518116497779595</v>
      </c>
      <c r="O30" s="5">
        <f t="shared" si="10"/>
        <v>1.0045946050583161</v>
      </c>
      <c r="P30" s="5">
        <f t="shared" si="10"/>
        <v>4.7200134528711102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1.0944650777257738</v>
      </c>
      <c r="F31" s="5">
        <f t="shared" si="2"/>
        <v>0.23263887199560943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1.731980042657375</v>
      </c>
      <c r="O31" s="5">
        <f t="shared" si="10"/>
        <v>1</v>
      </c>
      <c r="P31" s="5">
        <f t="shared" si="10"/>
        <v>5.651833708370293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S46"/>
  <sheetViews>
    <sheetView showGridLines="0" zoomScale="150" zoomScaleNormal="150" zoomScalePageLayoutView="150" workbookViewId="0">
      <selection activeCell="B16" sqref="B16"/>
    </sheetView>
  </sheetViews>
  <sheetFormatPr baseColWidth="10" defaultColWidth="9.1640625" defaultRowHeight="13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68</v>
      </c>
    </row>
    <row r="3" spans="1:19">
      <c r="A3" s="69" t="s">
        <v>228</v>
      </c>
    </row>
    <row r="4" spans="1:19" ht="15">
      <c r="A4" s="69" t="s">
        <v>71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225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226</v>
      </c>
      <c r="B7" s="62">
        <v>1730.63</v>
      </c>
      <c r="C7" s="62">
        <v>1434.2010693621778</v>
      </c>
      <c r="D7" s="62"/>
      <c r="E7" s="62"/>
      <c r="F7" s="62"/>
      <c r="O7" s="69" t="s">
        <v>67</v>
      </c>
    </row>
    <row r="8" spans="1:19">
      <c r="A8" s="183" t="s">
        <v>227</v>
      </c>
      <c r="B8" s="62">
        <v>233.42599999999999</v>
      </c>
      <c r="C8" s="62">
        <v>246.49904574755209</v>
      </c>
      <c r="D8" s="62"/>
      <c r="E8" s="62"/>
      <c r="F8" s="62"/>
      <c r="O8" s="5" t="s">
        <v>69</v>
      </c>
    </row>
    <row r="9" spans="1:19" ht="15">
      <c r="A9" s="183" t="s">
        <v>229</v>
      </c>
      <c r="B9" s="61">
        <f>10^(A.-B./(B12-273.15+C.))</f>
        <v>23.686413553095228</v>
      </c>
      <c r="C9" s="61">
        <f>10^(A.-B./(TK-273.15+C.))</f>
        <v>99.571488314950642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70</v>
      </c>
    </row>
    <row r="10" spans="1:19">
      <c r="A10" s="184" t="s">
        <v>230</v>
      </c>
      <c r="B10" s="185">
        <f>act*Psat/$B$11</f>
        <v>0.29390733014095977</v>
      </c>
      <c r="C10" s="185">
        <f>act*Psat/$B$11</f>
        <v>0.70609266985775299</v>
      </c>
      <c r="D10" s="185">
        <f>act*Psat/$B$11</f>
        <v>2.3408977434617109E-14</v>
      </c>
      <c r="E10" s="185">
        <f>act*Psat/$B$11</f>
        <v>1.0683208759832768E-12</v>
      </c>
      <c r="F10" s="185">
        <f>act*Psat/$B$11</f>
        <v>1.9547194685421425E-13</v>
      </c>
      <c r="H10" s="69" t="s">
        <v>72</v>
      </c>
      <c r="O10" s="69"/>
      <c r="P10" s="60">
        <v>1</v>
      </c>
      <c r="Q10" s="60">
        <v>2</v>
      </c>
      <c r="R10" s="60">
        <v>3</v>
      </c>
      <c r="S10" s="69" t="s">
        <v>73</v>
      </c>
    </row>
    <row r="11" spans="1:19" ht="15">
      <c r="A11" s="184" t="s">
        <v>231</v>
      </c>
      <c r="B11" s="186">
        <f t="array" ref="B11">SUM(B17:F17*B9:F9)</f>
        <v>78.424668245395949</v>
      </c>
      <c r="C11" s="187"/>
      <c r="D11" s="187"/>
      <c r="O11" s="5" t="s">
        <v>74</v>
      </c>
      <c r="P11" s="197">
        <v>0.53096394030730898</v>
      </c>
      <c r="Q11" s="197">
        <v>5.0625342641324211</v>
      </c>
      <c r="R11" s="197">
        <v>2.6115685140434906</v>
      </c>
    </row>
    <row r="12" spans="1:19" ht="15">
      <c r="A12" s="61" t="s">
        <v>75</v>
      </c>
      <c r="B12" s="62">
        <v>298.14999999999998</v>
      </c>
      <c r="C12" s="69" t="s">
        <v>76</v>
      </c>
      <c r="H12" s="69" t="s">
        <v>77</v>
      </c>
      <c r="O12" s="5" t="s">
        <v>78</v>
      </c>
      <c r="P12" s="60">
        <f>B16/I16</f>
        <v>0.5021314090009269</v>
      </c>
      <c r="Q12" s="60">
        <f>C16/J16</f>
        <v>10.729766815859165</v>
      </c>
      <c r="R12" s="60">
        <f>D16/K16</f>
        <v>5.7052388691056857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79</v>
      </c>
      <c r="P13" s="154">
        <f>B15</f>
        <v>0.96599999999999997</v>
      </c>
      <c r="Q13" s="154">
        <f>C15</f>
        <v>3.4000000000000002E-2</v>
      </c>
      <c r="R13" s="154">
        <f>D15</f>
        <v>9.9999999999999994E-12</v>
      </c>
    </row>
    <row r="14" spans="1:19" ht="16">
      <c r="A14" s="61" t="s">
        <v>80</v>
      </c>
      <c r="B14" s="62" t="s">
        <v>81</v>
      </c>
      <c r="C14" s="62" t="s">
        <v>82</v>
      </c>
      <c r="D14" s="62" t="s">
        <v>83</v>
      </c>
      <c r="E14" s="62"/>
      <c r="F14" s="62"/>
      <c r="G14"/>
      <c r="H14" s="61" t="s">
        <v>80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84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85</v>
      </c>
      <c r="B15" s="64">
        <v>0.96599999999999997</v>
      </c>
      <c r="C15" s="64">
        <v>3.4000000000000002E-2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85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86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87</v>
      </c>
      <c r="B16" s="61">
        <f>EXP(B40+B44)</f>
        <v>1.0073645737920678</v>
      </c>
      <c r="C16" s="61">
        <f>EXP(C40+C44)</f>
        <v>16.356880374331251</v>
      </c>
      <c r="D16" s="61">
        <f>EXP(D40+D44)</f>
        <v>0.18358412892738069</v>
      </c>
      <c r="E16" s="61">
        <f>EXP(E40+E44)</f>
        <v>8.3782710278619277</v>
      </c>
      <c r="F16" s="61">
        <f>EXP(F40+F44)</f>
        <v>1.532982258332342</v>
      </c>
      <c r="G16"/>
      <c r="H16" s="65" t="s">
        <v>87</v>
      </c>
      <c r="I16" s="61">
        <f>EXP(I40+I44)</f>
        <v>2.0061771793889283</v>
      </c>
      <c r="J16" s="61">
        <f>EXP(J40+J44)</f>
        <v>1.5244395013463772</v>
      </c>
      <c r="K16" s="61">
        <f>EXP(K40+K44)</f>
        <v>3.2178166968871907E-2</v>
      </c>
      <c r="L16" s="61">
        <f>EXP(L40+L44)</f>
        <v>1.0185592021579546</v>
      </c>
      <c r="M16" s="61">
        <f>EXP(M40+M44)</f>
        <v>0.69738574530359032</v>
      </c>
      <c r="O16" s="69" t="s">
        <v>88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>
      <c r="A17" s="61" t="s">
        <v>89</v>
      </c>
      <c r="B17" s="61">
        <f>xalpha*galpha</f>
        <v>0.9731141782831374</v>
      </c>
      <c r="C17" s="61">
        <f>xalpha*galpha</f>
        <v>0.55613393272726253</v>
      </c>
      <c r="D17" s="61">
        <f>xalpha*galpha</f>
        <v>1.8358412892738067E-12</v>
      </c>
      <c r="E17" s="61">
        <f>xalpha*galpha</f>
        <v>8.3782710278619266E-11</v>
      </c>
      <c r="F17" s="61">
        <f>xalpha*galpha</f>
        <v>1.532982258332342E-11</v>
      </c>
      <c r="H17" s="61" t="s">
        <v>89</v>
      </c>
      <c r="I17" s="61">
        <f>xbeta*gbeta</f>
        <v>0.94921264736773225</v>
      </c>
      <c r="J17" s="61">
        <f>xbeta*gbeta</f>
        <v>0.76334652832274641</v>
      </c>
      <c r="K17" s="61">
        <f>xbeta*gbeta</f>
        <v>8.4036130000683738E-4</v>
      </c>
      <c r="L17" s="61">
        <f>xbeta*gbeta</f>
        <v>1.0185592021579545E-11</v>
      </c>
      <c r="M17" s="61">
        <f>xbeta*gbeta</f>
        <v>6.9738574530359032E-12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90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91</v>
      </c>
    </row>
    <row r="21" spans="1:15">
      <c r="A21" s="65" t="s">
        <v>92</v>
      </c>
      <c r="B21" s="61">
        <f>$B$19*B15/B23</f>
        <v>0.88947730091331378</v>
      </c>
      <c r="C21" s="61">
        <f>$C$19*C15/B23</f>
        <v>0.11052269901840396</v>
      </c>
      <c r="D21" s="61">
        <f>$D$19*D15/B23</f>
        <v>2.2042767210499168E-11</v>
      </c>
      <c r="E21" s="61">
        <f>$E$19*E15/B23</f>
        <v>3.1927182801258784E-11</v>
      </c>
      <c r="F21" s="61">
        <f>$F$19*F15/B23</f>
        <v>1.431218539366773E-11</v>
      </c>
      <c r="G21" s="71"/>
      <c r="H21" s="65" t="s">
        <v>92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93</v>
      </c>
    </row>
    <row r="22" spans="1:15">
      <c r="A22" s="65" t="s">
        <v>44</v>
      </c>
      <c r="B22" s="61">
        <f>$B$20*B15/D23</f>
        <v>0.93257131505033819</v>
      </c>
      <c r="C22" s="61">
        <f>$C$20*C15/D23</f>
        <v>6.7428684908963546E-2</v>
      </c>
      <c r="D22" s="61">
        <f>$D$20*D15/D23</f>
        <v>1.4287842093938931E-11</v>
      </c>
      <c r="E22" s="61">
        <f>$E$20*E15/D23</f>
        <v>1.6549624047033509E-11</v>
      </c>
      <c r="F22" s="61">
        <f>$F$20*F15/D23</f>
        <v>9.8608176613574651E-12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94</v>
      </c>
    </row>
    <row r="23" spans="1:15" ht="15">
      <c r="A23" s="67" t="s">
        <v>95</v>
      </c>
      <c r="B23" s="60">
        <f t="array" ref="B23">SUM(B15:F15*$B$19:$F$19)</f>
        <v>0.99914860006822415</v>
      </c>
      <c r="C23" s="67" t="s">
        <v>96</v>
      </c>
      <c r="D23" s="60">
        <f t="array" ref="D23">SUM($B$20:$F$20*B15:F15)</f>
        <v>1.4501840000590198</v>
      </c>
      <c r="E23"/>
      <c r="F23" s="66"/>
      <c r="H23" s="67" t="s">
        <v>95</v>
      </c>
      <c r="I23" s="60">
        <f t="array" ref="I23">SUM(I15:M15*$B$19:$F$19)</f>
        <v>2.1191616599026317</v>
      </c>
      <c r="J23" s="67" t="s">
        <v>96</v>
      </c>
      <c r="K23" s="60">
        <f t="array" ref="K23">SUM($B$20:$F$20*I15:M15)</f>
        <v>2.1566408485572506</v>
      </c>
      <c r="L23"/>
      <c r="M23" s="66"/>
    </row>
    <row r="24" spans="1:15" ht="15">
      <c r="A24" s="70" t="s">
        <v>97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98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99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100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5">
      <c r="A32" s="67" t="s">
        <v>101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1.0070284414877919</v>
      </c>
      <c r="D34" s="63">
        <f>EXP(-D26/TK)</f>
        <v>0.42638044116354101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0.31382703189877065</v>
      </c>
      <c r="C35" s="63">
        <v>1</v>
      </c>
      <c r="D35" s="63">
        <f>EXP(-D27/TK)</f>
        <v>2.3451660193240675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2.7445744267985233</v>
      </c>
      <c r="C36" s="63">
        <f t="shared" si="1"/>
        <v>1.0153904157937348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5">
      <c r="A40" s="68" t="s">
        <v>102</v>
      </c>
      <c r="B40" s="61">
        <f>LN(B21/B15)+(1-B21/B15)-5*B20*(LN(B21/B22)+(1-B21/B22))</f>
        <v>4.3984624326797034E-3</v>
      </c>
      <c r="C40" s="61">
        <f>LN(C21/C15)+(1-C21/C15)-5*C20*(LN(C21/C22)+(1-C21/C22))</f>
        <v>1.0126408537725431</v>
      </c>
      <c r="D40" s="61">
        <f>LN(D21/D15)+(1-D21/D15)-5*D20*(LN(D21/D22)+(1-D21/D22))</f>
        <v>0.71731409832205717</v>
      </c>
      <c r="E40" s="61">
        <f>LN(E21/E15)+(1-E21/E15)-5*E20*(LN(E21/E22)+(1-E21/E22))</f>
        <v>2.2331665879744547</v>
      </c>
      <c r="F40" s="61">
        <f>LN(F21/F15)+(1-F21/F15)-5*F20*(LN(F21/F22)+(1-F21/F22))</f>
        <v>0.49128201536896488</v>
      </c>
      <c r="H40" s="68" t="s">
        <v>102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5">
      <c r="A41" s="65" t="s">
        <v>103</v>
      </c>
      <c r="B41" s="61">
        <f t="array" ref="B41:F41">MMULT(B22:F22,$B$34:$F$38)</f>
        <v>0.95373225916578019</v>
      </c>
      <c r="C41" s="61">
        <v>1.0065545229212443</v>
      </c>
      <c r="D41" s="61">
        <v>0.55576162934453588</v>
      </c>
      <c r="E41" s="61">
        <v>1</v>
      </c>
      <c r="F41" s="61">
        <v>1</v>
      </c>
      <c r="H41" s="65" t="s">
        <v>103</v>
      </c>
      <c r="I41" s="61">
        <f t="array" ref="I41:M41">MMULT(I22:M22,$B$34:$F$38)</f>
        <v>0.58557180816134535</v>
      </c>
      <c r="J41" s="61">
        <v>1.0025449153420405</v>
      </c>
      <c r="K41" s="61">
        <v>1.7220678211923637</v>
      </c>
      <c r="L41" s="61">
        <v>1</v>
      </c>
      <c r="M41" s="61">
        <v>1</v>
      </c>
    </row>
    <row r="42" spans="1:13" ht="15">
      <c r="A42" s="65" t="s">
        <v>104</v>
      </c>
      <c r="B42" s="61">
        <f>B22/B41</f>
        <v>0.97781248991834324</v>
      </c>
      <c r="C42" s="61">
        <f>C22/C41</f>
        <v>6.6989600040016278E-2</v>
      </c>
      <c r="D42" s="61">
        <f>D22/D41</f>
        <v>2.5708579613151744E-11</v>
      </c>
      <c r="E42" s="61">
        <f>E22/E41</f>
        <v>1.6549624047033509E-11</v>
      </c>
      <c r="F42" s="61">
        <f>F22/F41</f>
        <v>9.8608176613574651E-12</v>
      </c>
      <c r="H42" s="65" t="s">
        <v>104</v>
      </c>
      <c r="I42" s="61">
        <f>I22/I41</f>
        <v>0.52452268929161483</v>
      </c>
      <c r="J42" s="61">
        <f>J22/J41</f>
        <v>0.66606828825646025</v>
      </c>
      <c r="K42" s="61">
        <f>K22/K41</f>
        <v>1.4570230290137357E-2</v>
      </c>
      <c r="L42" s="61">
        <f>L22/L41</f>
        <v>1.1128417611145368E-11</v>
      </c>
      <c r="M42" s="61">
        <f>M22/M41</f>
        <v>6.630682159974115E-12</v>
      </c>
    </row>
    <row r="43" spans="1:13" ht="15">
      <c r="A43" s="65" t="s">
        <v>105</v>
      </c>
      <c r="B43" s="61">
        <f t="array" ref="B43:F43">MMULT(B42:F42,TRANSPOSE(B34:F38))</f>
        <v>1.0452729224799036</v>
      </c>
      <c r="C43" s="61">
        <v>0.37385359159133785</v>
      </c>
      <c r="D43" s="61">
        <v>2.7516997519246811</v>
      </c>
      <c r="E43" s="61">
        <v>1.0448020900104784</v>
      </c>
      <c r="F43" s="61">
        <v>1.0448020900104784</v>
      </c>
      <c r="H43" s="65" t="s">
        <v>105</v>
      </c>
      <c r="I43" s="61">
        <f t="array" ref="I43:M43">MMULT(I42:M42,TRANSPOSE($B$34:$F$38))</f>
        <v>1.2014848607756816</v>
      </c>
      <c r="J43" s="61">
        <v>0.86484729598832433</v>
      </c>
      <c r="K43" s="61">
        <v>2.1304811457729982</v>
      </c>
      <c r="L43" s="61">
        <v>1.2051612078559717</v>
      </c>
      <c r="M43" s="61">
        <v>1.2051612078559717</v>
      </c>
    </row>
    <row r="44" spans="1:13" ht="15">
      <c r="A44" s="68" t="s">
        <v>106</v>
      </c>
      <c r="B44" s="61">
        <f>B20*(1-LN(B41)-B43)</f>
        <v>2.9391252987133409E-3</v>
      </c>
      <c r="C44" s="61">
        <f>C20*(1-LN(C41)-C43)</f>
        <v>1.7820077730535679</v>
      </c>
      <c r="D44" s="61">
        <f>D20*(1-LN(D41)-D43)</f>
        <v>-2.4123963466049303</v>
      </c>
      <c r="E44" s="61">
        <f>E20*(1-LN(E41)-E43)</f>
        <v>-0.10752501602514819</v>
      </c>
      <c r="F44" s="61">
        <f>F20*(1-LN(F41)-F43)</f>
        <v>-6.4066988714984133E-2</v>
      </c>
      <c r="H44" s="68" t="s">
        <v>106</v>
      </c>
      <c r="I44" s="61">
        <f>$B$20*(1-LN(I41)-I43)</f>
        <v>0.46715423792686422</v>
      </c>
      <c r="J44" s="61">
        <f>$C$20*(1-LN(J41)-J43)</f>
        <v>0.38138929778517017</v>
      </c>
      <c r="K44" s="61">
        <f>$D$20*(1-LN(K41)-K43)</f>
        <v>-3.4685423716656998</v>
      </c>
      <c r="L44" s="61">
        <f>$E$20*(1-LN(L41)-L43)</f>
        <v>-0.49238689885433207</v>
      </c>
      <c r="M44" s="61">
        <f>$F$20*(1-LN(M41)-M43)</f>
        <v>-0.29338052723403951</v>
      </c>
    </row>
    <row r="46" spans="1:13">
      <c r="A46" s="60" t="s">
        <v>107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DF73"/>
  <sheetViews>
    <sheetView showGridLines="0" topLeftCell="A11" zoomScale="125" zoomScaleNormal="125" zoomScalePageLayoutView="125" workbookViewId="0">
      <selection activeCell="C23" sqref="C23:C42"/>
    </sheetView>
  </sheetViews>
  <sheetFormatPr baseColWidth="10" defaultColWidth="9.1640625" defaultRowHeight="16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108</v>
      </c>
      <c r="C1" s="144"/>
      <c r="D1" s="144"/>
    </row>
    <row r="2" spans="1:46">
      <c r="A2" s="144" t="s">
        <v>262</v>
      </c>
      <c r="C2" s="144"/>
      <c r="D2" s="144"/>
    </row>
    <row r="3" spans="1:46" s="144" customFormat="1" ht="13">
      <c r="A3" s="144" t="s">
        <v>263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115</v>
      </c>
      <c r="C9" s="203">
        <f t="array" ref="C9">SUM(C21:G21*C22:G22*C16:G16)</f>
        <v>43.391658804256295</v>
      </c>
      <c r="D9" s="203" t="s">
        <v>116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295</v>
      </c>
      <c r="C10" s="204">
        <v>25</v>
      </c>
      <c r="D10" s="205" t="s">
        <v>119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296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1">
      <c r="C12" s="36" t="s">
        <v>122</v>
      </c>
      <c r="D12" s="36" t="s">
        <v>123</v>
      </c>
      <c r="E12" s="36" t="s">
        <v>124</v>
      </c>
      <c r="F12" s="36" t="s">
        <v>125</v>
      </c>
      <c r="G12" s="36" t="s">
        <v>126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1">
      <c r="B13" s="35" t="s">
        <v>127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1">
      <c r="B14" s="35" t="s">
        <v>128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1">
      <c r="B15" s="35" t="s">
        <v>129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3">
      <c r="B16" s="35" t="s">
        <v>130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1">
      <c r="B17" s="35" t="s">
        <v>131</v>
      </c>
      <c r="C17" s="191">
        <f>C21*C22*C16/$C$9</f>
        <v>1</v>
      </c>
      <c r="D17" s="191">
        <f>D21*D22*D16/$C$9</f>
        <v>3.8656466426610934E-21</v>
      </c>
      <c r="E17" s="191">
        <f>E21*E22*E16/$C$9</f>
        <v>0</v>
      </c>
      <c r="F17" s="191">
        <f>F21*F22*F16/$C$9</f>
        <v>3.6760016837349186E-19</v>
      </c>
      <c r="G17" s="191">
        <f>G21*G22*G16/$C$9</f>
        <v>1.2829333647662147E-19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3">
      <c r="A18" s="206" t="s">
        <v>264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1">
      <c r="C19" s="36" t="s">
        <v>122</v>
      </c>
      <c r="D19" s="36" t="s">
        <v>123</v>
      </c>
      <c r="E19" s="36" t="s">
        <v>124</v>
      </c>
      <c r="F19" s="36" t="s">
        <v>125</v>
      </c>
      <c r="G19" s="36" t="s">
        <v>126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3">
      <c r="B20" s="35"/>
      <c r="C20" s="53" t="s">
        <v>349</v>
      </c>
      <c r="D20" s="53" t="s">
        <v>348</v>
      </c>
      <c r="E20" s="53" t="s">
        <v>265</v>
      </c>
      <c r="F20" s="54" t="s">
        <v>132</v>
      </c>
      <c r="G20" s="53" t="s">
        <v>133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5">
      <c r="B21" s="72" t="s">
        <v>297</v>
      </c>
      <c r="C21" s="55">
        <v>1</v>
      </c>
      <c r="D21" s="55">
        <v>9.9999999999999995E-21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134</v>
      </c>
      <c r="M21" s="36"/>
      <c r="N21" s="202"/>
      <c r="O21" s="202"/>
      <c r="P21" s="202"/>
      <c r="Q21" s="202"/>
      <c r="R21" s="80" t="s">
        <v>135</v>
      </c>
      <c r="S21" s="36"/>
      <c r="T21" s="36"/>
      <c r="U21" s="36"/>
      <c r="V21" s="202"/>
      <c r="W21" s="35"/>
      <c r="X21" s="81" t="s">
        <v>136</v>
      </c>
      <c r="Y21" s="36"/>
      <c r="Z21" s="35"/>
      <c r="AA21" s="35"/>
      <c r="AB21" s="202"/>
      <c r="AC21" s="36"/>
      <c r="AD21" s="81" t="s">
        <v>137</v>
      </c>
      <c r="AE21" s="35"/>
      <c r="AF21" s="35"/>
      <c r="AG21" s="35"/>
      <c r="AH21" s="36"/>
      <c r="AI21" s="36"/>
      <c r="AJ21" s="81" t="s">
        <v>138</v>
      </c>
      <c r="AK21" s="35"/>
      <c r="AL21" s="35"/>
      <c r="AN21" s="202"/>
      <c r="AP21" s="72" t="s">
        <v>139</v>
      </c>
      <c r="AU21" s="210"/>
      <c r="AV21" s="210"/>
      <c r="AW21" s="210"/>
    </row>
    <row r="22" spans="1:49" s="72" customFormat="1" ht="13">
      <c r="A22" s="72" t="s">
        <v>266</v>
      </c>
      <c r="B22" s="82" t="s">
        <v>140</v>
      </c>
      <c r="C22" s="56">
        <f>EXP(C52-C51+C50)</f>
        <v>1</v>
      </c>
      <c r="D22" s="56">
        <f>EXP(D52-D51+D50)</f>
        <v>0.70815625928413295</v>
      </c>
      <c r="E22" s="56">
        <f>EXP(E52-E51+E50)</f>
        <v>9.7544805007224102</v>
      </c>
      <c r="F22" s="56">
        <f>EXP(F52-F51+F50)</f>
        <v>27.039893400137316</v>
      </c>
      <c r="G22" s="56">
        <f>EXP(G52-G51+G50)</f>
        <v>1.0855998632635102</v>
      </c>
      <c r="H22" s="82" t="s">
        <v>141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142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142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142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142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142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142</v>
      </c>
      <c r="AU22" s="144"/>
      <c r="AV22" s="144"/>
      <c r="AW22" s="144"/>
    </row>
    <row r="23" spans="1:49" s="72" customFormat="1" ht="13">
      <c r="A23" s="211">
        <v>1</v>
      </c>
      <c r="B23" s="35" t="str">
        <f>'aij-UNIFAC (VLE)'!V10</f>
        <v>CH3</v>
      </c>
      <c r="C23" s="57"/>
      <c r="D23" s="57">
        <v>1</v>
      </c>
      <c r="E23" s="57">
        <v>1</v>
      </c>
      <c r="F23" s="57">
        <v>1</v>
      </c>
      <c r="G23" s="57">
        <v>2</v>
      </c>
      <c r="H23" s="83">
        <f t="array" ref="H23">SUM(C23:G23*$C$21:$G$21)</f>
        <v>4.9999999999999999E-20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0.5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7.1428571428571425E-21</v>
      </c>
      <c r="P23" s="84">
        <f>J23*'aij-UNIFAC (VLE)'!$X10/J$43</f>
        <v>0</v>
      </c>
      <c r="Q23" s="85">
        <f>K23*'aij-UNIFAC (VLE)'!$X10/K$43</f>
        <v>0.56233421750663126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1.087179487179487E-20</v>
      </c>
      <c r="V23" s="84">
        <f t="array" ref="V23:AA42">MMULT(TRANSPOSE(tau),P23:U42)</f>
        <v>1.0445686382856014</v>
      </c>
      <c r="W23" s="88">
        <v>1.1152637197041417</v>
      </c>
      <c r="X23" s="85">
        <v>0.69414789551785028</v>
      </c>
      <c r="Y23" s="85">
        <v>0.81073147016518665</v>
      </c>
      <c r="Z23" s="88">
        <v>1</v>
      </c>
      <c r="AA23" s="89">
        <v>1.0445686382856014</v>
      </c>
      <c r="AB23" s="213">
        <f t="shared" ref="AB23:AB42" si="7">P23/V23</f>
        <v>0</v>
      </c>
      <c r="AC23" s="214">
        <f t="shared" ref="AC23:AC42" si="8">Q23/W23</f>
        <v>0.50421636387114599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1.0407927706539425E-20</v>
      </c>
      <c r="AH23" s="84">
        <f t="array" ref="AH23:AM42">MMULT(tau,AB23:AG42)</f>
        <v>0.95657159189084895</v>
      </c>
      <c r="AI23" s="85">
        <v>0.89221124897070903</v>
      </c>
      <c r="AJ23" s="88">
        <v>0.86177004640731925</v>
      </c>
      <c r="AK23" s="88">
        <v>0.69660671354206738</v>
      </c>
      <c r="AL23" s="88">
        <v>1</v>
      </c>
      <c r="AM23" s="89">
        <v>0.95657159189084895</v>
      </c>
      <c r="AN23" s="92">
        <f>'aij-UNIFAC (VLE)'!$X10*(1-LN(V23)-AH23)</f>
        <v>-1.4891368306033746E-4</v>
      </c>
      <c r="AO23" s="93">
        <f>'aij-UNIFAC (VLE)'!$X10*(1-LN(W23)-AI23)</f>
        <v>-1.1042196641744013E-3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-1.4891368306033746E-4</v>
      </c>
      <c r="AU23" s="144"/>
      <c r="AV23" s="144"/>
      <c r="AW23" s="144"/>
    </row>
    <row r="24" spans="1:49" s="72" customFormat="1" ht="13">
      <c r="A24" s="211">
        <v>2</v>
      </c>
      <c r="B24" s="35" t="str">
        <f>'aij-UNIFAC (VLE)'!V11</f>
        <v>CH2</v>
      </c>
      <c r="C24" s="57">
        <v>6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6</v>
      </c>
      <c r="I24" s="36" t="str">
        <f t="shared" si="0"/>
        <v>CH2</v>
      </c>
      <c r="J24" s="95">
        <f t="shared" si="1"/>
        <v>0.8571428571428571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0.8571428571428571</v>
      </c>
      <c r="P24" s="95">
        <f>J24*'aij-UNIFAC (VLE)'!$X11/J$43</f>
        <v>0.8307692307692307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0.8307692307692307</v>
      </c>
      <c r="V24" s="95">
        <v>1.0445686382856014</v>
      </c>
      <c r="W24" s="99">
        <v>1.1152637197041417</v>
      </c>
      <c r="X24" s="96">
        <v>0.69414789551785028</v>
      </c>
      <c r="Y24" s="96">
        <v>0.81073147016518665</v>
      </c>
      <c r="Z24" s="99">
        <v>1</v>
      </c>
      <c r="AA24" s="100">
        <v>1.0445686382856014</v>
      </c>
      <c r="AB24" s="216">
        <f t="shared" si="7"/>
        <v>0.79532277757518255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0.79532277757518255</v>
      </c>
      <c r="AH24" s="95">
        <v>0.95657159189084895</v>
      </c>
      <c r="AI24" s="96">
        <v>0.89221124897070903</v>
      </c>
      <c r="AJ24" s="99">
        <v>0.86177004640731925</v>
      </c>
      <c r="AK24" s="99">
        <v>0.69660671354206738</v>
      </c>
      <c r="AL24" s="99">
        <v>1</v>
      </c>
      <c r="AM24" s="100">
        <v>0.95657159189084895</v>
      </c>
      <c r="AN24" s="103">
        <f>'aij-UNIFAC (VLE)'!$X11*(1-LN(V24)-AH24)</f>
        <v>-9.4827109495969629E-5</v>
      </c>
      <c r="AO24" s="104">
        <f>'aij-UNIFAC (VLE)'!$X11*(1-LN(W24)-AI24)</f>
        <v>-7.0315874841294431E-4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-9.4827109495969629E-5</v>
      </c>
      <c r="AU24" s="144"/>
      <c r="AV24" s="144"/>
      <c r="AW24" s="144"/>
    </row>
    <row r="25" spans="1:49" s="72" customFormat="1" ht="11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1.0445686382856014</v>
      </c>
      <c r="W25" s="99">
        <v>1.1152637197041417</v>
      </c>
      <c r="X25" s="99">
        <v>0.69414789551785028</v>
      </c>
      <c r="Y25" s="99">
        <v>0.81073147016518665</v>
      </c>
      <c r="Z25" s="99">
        <v>1</v>
      </c>
      <c r="AA25" s="100">
        <v>1.0445686382856014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0.95657159189084895</v>
      </c>
      <c r="AI25" s="99">
        <v>0.89221124897070903</v>
      </c>
      <c r="AJ25" s="99">
        <v>0.86177004640731925</v>
      </c>
      <c r="AK25" s="99">
        <v>0.69660671354206738</v>
      </c>
      <c r="AL25" s="99">
        <v>1</v>
      </c>
      <c r="AM25" s="100">
        <v>0.95657159189084895</v>
      </c>
      <c r="AN25" s="103">
        <f>'aij-UNIFAC (VLE)'!$X12*(1-LN(V25)-AH25)</f>
        <v>-4.0038112898298286E-5</v>
      </c>
      <c r="AO25" s="104">
        <f>'aij-UNIFAC (VLE)'!$X12*(1-LN(W25)-AI25)</f>
        <v>-2.968892493299098E-4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-4.0038112898298286E-5</v>
      </c>
    </row>
    <row r="26" spans="1:49" s="72" customFormat="1" ht="11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0"/>
        <v>ACH</v>
      </c>
      <c r="J26" s="95">
        <f t="shared" si="1"/>
        <v>0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0.95365641078992724</v>
      </c>
      <c r="W26" s="96">
        <v>1.1741936843849099</v>
      </c>
      <c r="X26" s="96">
        <v>0.81310145961048286</v>
      </c>
      <c r="Y26" s="99">
        <v>0.78022226540407535</v>
      </c>
      <c r="Z26" s="99">
        <v>0.81462204265395999</v>
      </c>
      <c r="AA26" s="100">
        <v>0.95365641078992724</v>
      </c>
      <c r="AB26" s="216">
        <f t="shared" si="7"/>
        <v>0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0</v>
      </c>
      <c r="AH26" s="95">
        <v>0.94457988088063882</v>
      </c>
      <c r="AI26" s="99">
        <v>0.80979544254508662</v>
      </c>
      <c r="AJ26" s="99">
        <v>0.94152419087402739</v>
      </c>
      <c r="AK26" s="99">
        <v>0.80028488520762786</v>
      </c>
      <c r="AL26" s="99">
        <v>1.0380009113747288</v>
      </c>
      <c r="AM26" s="100">
        <v>0.94457988088063882</v>
      </c>
      <c r="AN26" s="103">
        <f>'aij-UNIFAC (VLE)'!$X13*(1-LN(V26)-AH26)</f>
        <v>4.1148779171917796E-2</v>
      </c>
      <c r="AO26" s="104">
        <f>'aij-UNIFAC (VLE)'!$X13*(1-LN(W26)-AI26)</f>
        <v>1.1849148590023173E-2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4.1148779171917796E-2</v>
      </c>
    </row>
    <row r="27" spans="1:49" s="72" customFormat="1" ht="11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0.95365641078992724</v>
      </c>
      <c r="W27" s="96">
        <v>1.1741936843849099</v>
      </c>
      <c r="X27" s="96">
        <v>0.81310145961048286</v>
      </c>
      <c r="Y27" s="99">
        <v>0.78022226540407535</v>
      </c>
      <c r="Z27" s="99">
        <v>0.81462204265395999</v>
      </c>
      <c r="AA27" s="100">
        <v>0.95365641078992724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0.94457988088063882</v>
      </c>
      <c r="AI27" s="99">
        <v>0.80979544254508662</v>
      </c>
      <c r="AJ27" s="99">
        <v>0.94152419087402739</v>
      </c>
      <c r="AK27" s="99">
        <v>0.80028488520762786</v>
      </c>
      <c r="AL27" s="99">
        <v>1.0380009113747288</v>
      </c>
      <c r="AM27" s="100">
        <v>0.94457988088063882</v>
      </c>
      <c r="AN27" s="103">
        <f>'aij-UNIFAC (VLE)'!$X14*(1-LN(V27)-AH27)</f>
        <v>1.2344633751575337E-2</v>
      </c>
      <c r="AO27" s="104">
        <f>'aij-UNIFAC (VLE)'!$X14*(1-LN(W27)-AI27)</f>
        <v>3.5547445770069516E-3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1.2344633751575337E-2</v>
      </c>
    </row>
    <row r="28" spans="1:49" s="72" customFormat="1" ht="11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0.81198973710311972</v>
      </c>
      <c r="W28" s="96">
        <v>0.87273890250913611</v>
      </c>
      <c r="X28" s="96">
        <v>0.75768766549455413</v>
      </c>
      <c r="Y28" s="99">
        <v>0.84016052039525224</v>
      </c>
      <c r="Z28" s="99">
        <v>0.77369135021671831</v>
      </c>
      <c r="AA28" s="100">
        <v>0.81198973710311972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1.2131940034449231</v>
      </c>
      <c r="AI28" s="99">
        <v>1.138492213443695</v>
      </c>
      <c r="AJ28" s="99">
        <v>1.0149190465993372</v>
      </c>
      <c r="AK28" s="99">
        <v>0.90061819300939439</v>
      </c>
      <c r="AL28" s="99">
        <v>1.2633601353240085</v>
      </c>
      <c r="AM28" s="100">
        <v>1.2131940034449231</v>
      </c>
      <c r="AN28" s="103">
        <f>'aij-UNIFAC (VLE)'!$X15*(1-LN(V28)-AH28)</f>
        <v>-4.7687798927350186E-3</v>
      </c>
      <c r="AO28" s="104">
        <f>'aij-UNIFAC (VLE)'!$X15*(1-LN(W28)-AI28)</f>
        <v>-2.2974171477403971E-3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-4.7687798927350186E-3</v>
      </c>
    </row>
    <row r="29" spans="1:49" s="72" customFormat="1" ht="11">
      <c r="A29" s="211">
        <v>12</v>
      </c>
      <c r="B29" s="35" t="str">
        <f>'aij-UNIFAC (VLE)'!V16</f>
        <v>ACCH2</v>
      </c>
      <c r="C29" s="57">
        <v>1</v>
      </c>
      <c r="D29" s="57">
        <v>1</v>
      </c>
      <c r="E29" s="57"/>
      <c r="F29" s="57"/>
      <c r="G29" s="57"/>
      <c r="H29" s="83">
        <f t="array" ref="H29">SUM(C29:G29*$C$21:$G$21)</f>
        <v>1</v>
      </c>
      <c r="I29" s="36" t="str">
        <f t="shared" si="0"/>
        <v>ACCH2</v>
      </c>
      <c r="J29" s="95">
        <f t="shared" si="1"/>
        <v>0.14285714285714285</v>
      </c>
      <c r="K29" s="96">
        <f t="shared" si="2"/>
        <v>0.5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0.14285714285714285</v>
      </c>
      <c r="P29" s="95">
        <f>J29*'aij-UNIFAC (VLE)'!$X16/J$43</f>
        <v>0.16923076923076921</v>
      </c>
      <c r="Q29" s="96">
        <f>K29*'aij-UNIFAC (VLE)'!$X16/K$43</f>
        <v>0.43766578249336874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0.16923076923076921</v>
      </c>
      <c r="V29" s="95">
        <v>0.81198973710311972</v>
      </c>
      <c r="W29" s="96">
        <v>0.87273890250913611</v>
      </c>
      <c r="X29" s="96">
        <v>0.75768766549455413</v>
      </c>
      <c r="Y29" s="99">
        <v>0.84016052039525224</v>
      </c>
      <c r="Z29" s="99">
        <v>0.77369135021671831</v>
      </c>
      <c r="AA29" s="100">
        <v>0.81198973710311972</v>
      </c>
      <c r="AB29" s="216">
        <f t="shared" si="7"/>
        <v>0.20841491154127423</v>
      </c>
      <c r="AC29" s="217">
        <f t="shared" si="8"/>
        <v>0.5014853597508645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0.20841491154127423</v>
      </c>
      <c r="AH29" s="95">
        <v>1.2131940034449231</v>
      </c>
      <c r="AI29" s="99">
        <v>1.138492213443695</v>
      </c>
      <c r="AJ29" s="99">
        <v>1.0149190465993372</v>
      </c>
      <c r="AK29" s="99">
        <v>0.90061819300939439</v>
      </c>
      <c r="AL29" s="99">
        <v>1.2633601353240085</v>
      </c>
      <c r="AM29" s="100">
        <v>1.2131940034449231</v>
      </c>
      <c r="AN29" s="103">
        <f>'aij-UNIFAC (VLE)'!$X16*(1-LN(V29)-AH29)</f>
        <v>-3.2514408359556948E-3</v>
      </c>
      <c r="AO29" s="104">
        <f>'aij-UNIFAC (VLE)'!$X16*(1-LN(W29)-AI29)</f>
        <v>-1.5664207825502709E-3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-3.2514408359556948E-3</v>
      </c>
    </row>
    <row r="30" spans="1:49" s="72" customFormat="1" ht="11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1.4285714285714285E-21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3.0769230769230761E-21</v>
      </c>
      <c r="V30" s="95">
        <v>4.1817149392090379E-2</v>
      </c>
      <c r="W30" s="96">
        <v>5.0152403885930424E-2</v>
      </c>
      <c r="X30" s="96">
        <v>0.79703479563269386</v>
      </c>
      <c r="Y30" s="99">
        <v>0.48328767127965305</v>
      </c>
      <c r="Z30" s="99">
        <v>3.6562315037278185E-2</v>
      </c>
      <c r="AA30" s="100">
        <v>4.1817149392090379E-2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7.358041190404694E-20</v>
      </c>
      <c r="AH30" s="95">
        <v>0.66180614158608009</v>
      </c>
      <c r="AI30" s="99">
        <v>0.75828446130261695</v>
      </c>
      <c r="AJ30" s="99">
        <v>0.91008080619852705</v>
      </c>
      <c r="AK30" s="99">
        <v>1.3509249013363422</v>
      </c>
      <c r="AL30" s="99">
        <v>0.5918108706562526</v>
      </c>
      <c r="AM30" s="100">
        <v>0.66180614158608009</v>
      </c>
      <c r="AN30" s="103">
        <f>'aij-UNIFAC (VLE)'!$X17*(1-LN(V30)-AH30)</f>
        <v>4.2151711313592779</v>
      </c>
      <c r="AO30" s="104">
        <f>'aij-UNIFAC (VLE)'!$X17*(1-LN(W30)-AI30)</f>
        <v>3.881285244604213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4.2151711313592779</v>
      </c>
    </row>
    <row r="31" spans="1:49" s="72" customFormat="1" ht="11">
      <c r="A31" s="211">
        <v>15</v>
      </c>
      <c r="B31" s="35" t="str">
        <f>'aij-UNIFAC (VLE)'!V18</f>
        <v>CH3OH</v>
      </c>
      <c r="C31" s="57"/>
      <c r="D31" s="57"/>
      <c r="E31" s="57"/>
      <c r="F31" s="57"/>
      <c r="G31" s="57"/>
      <c r="H31" s="83">
        <f t="array" ref="H31">SUM(C31:G31*$C$21:$G$21)</f>
        <v>0</v>
      </c>
      <c r="I31" s="36" t="str">
        <f t="shared" si="0"/>
        <v>CH3OH</v>
      </c>
      <c r="J31" s="95">
        <f t="shared" si="1"/>
        <v>0</v>
      </c>
      <c r="K31" s="96">
        <f t="shared" si="2"/>
        <v>0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0</v>
      </c>
      <c r="P31" s="95">
        <f>J31*'aij-UNIFAC (VLE)'!$X18/J$43</f>
        <v>0</v>
      </c>
      <c r="Q31" s="96">
        <f>K31*'aij-UNIFAC (VLE)'!$X18/K$43</f>
        <v>0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0</v>
      </c>
      <c r="V31" s="95">
        <v>0.10253150345248223</v>
      </c>
      <c r="W31" s="96">
        <v>0.11213054896497132</v>
      </c>
      <c r="X31" s="96">
        <v>0.20118381498930404</v>
      </c>
      <c r="Y31" s="99">
        <v>0.78612463187156723</v>
      </c>
      <c r="Z31" s="99">
        <v>9.6479931281565207E-2</v>
      </c>
      <c r="AA31" s="100">
        <v>0.10253150345248223</v>
      </c>
      <c r="AB31" s="216">
        <f t="shared" si="7"/>
        <v>0</v>
      </c>
      <c r="AC31" s="217">
        <f t="shared" si="8"/>
        <v>0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</v>
      </c>
      <c r="AH31" s="95">
        <v>0.99444205041152611</v>
      </c>
      <c r="AI31" s="99">
        <v>1.059262678105823</v>
      </c>
      <c r="AJ31" s="99">
        <v>2.4783907121321302</v>
      </c>
      <c r="AK31" s="99">
        <v>1.0419598875483618</v>
      </c>
      <c r="AL31" s="99">
        <v>0.94613046106461629</v>
      </c>
      <c r="AM31" s="100">
        <v>0.99444205041152611</v>
      </c>
      <c r="AN31" s="103">
        <f>'aij-UNIFAC (VLE)'!$X18*(1-LN(V31)-AH31)</f>
        <v>3.2694609570889899</v>
      </c>
      <c r="AO31" s="104">
        <f>'aij-UNIFAC (VLE)'!$X18*(1-LN(W31)-AI31)</f>
        <v>3.0484828310392356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3.2694609570889899</v>
      </c>
    </row>
    <row r="32" spans="1:49" s="72" customFormat="1" ht="13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9.9917372906586852E-3</v>
      </c>
      <c r="W32" s="96">
        <v>6.7632465456227307E-3</v>
      </c>
      <c r="X32" s="96">
        <v>0.59144182361423447</v>
      </c>
      <c r="Y32" s="99">
        <v>0.14812693782011668</v>
      </c>
      <c r="Z32" s="99">
        <v>1.2027090151659613E-2</v>
      </c>
      <c r="AA32" s="100">
        <v>9.9917372906586852E-3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0.34950914703473401</v>
      </c>
      <c r="AI32" s="99">
        <v>0.32567347195951468</v>
      </c>
      <c r="AJ32" s="99">
        <v>1.2138626557274934</v>
      </c>
      <c r="AK32" s="99">
        <v>2.3106898820211139</v>
      </c>
      <c r="AL32" s="99">
        <v>0.36560384210985092</v>
      </c>
      <c r="AM32" s="100">
        <v>0.34950914703473401</v>
      </c>
      <c r="AN32" s="103">
        <f>'aij-UNIFAC (VLE)'!$X19*(1-LN(V32)-AH32)</f>
        <v>7.3590827120124604</v>
      </c>
      <c r="AO32" s="104">
        <f>'aij-UNIFAC (VLE)'!$X19*(1-LN(W32)-AI32)</f>
        <v>7.9388102836372498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7.3590827120124604</v>
      </c>
      <c r="AT32" s="202"/>
      <c r="AU32" s="202"/>
    </row>
    <row r="33" spans="1:110" s="72" customFormat="1" ht="13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1.8201234125721458E-2</v>
      </c>
      <c r="W33" s="96">
        <v>2.8930751437517884E-2</v>
      </c>
      <c r="X33" s="96">
        <v>0.49229570390838873</v>
      </c>
      <c r="Y33" s="99">
        <v>1.1140426653864903</v>
      </c>
      <c r="Z33" s="99">
        <v>1.1436973211762848E-2</v>
      </c>
      <c r="AA33" s="100">
        <v>1.8201234125721458E-2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0.40723826398065405</v>
      </c>
      <c r="AI33" s="99">
        <v>0.42100985936045254</v>
      </c>
      <c r="AJ33" s="99">
        <v>0.52959308454671894</v>
      </c>
      <c r="AK33" s="99">
        <v>4.6257138623644272</v>
      </c>
      <c r="AL33" s="99">
        <v>0.39651645716218614</v>
      </c>
      <c r="AM33" s="100">
        <v>0.40723826398065405</v>
      </c>
      <c r="AN33" s="103">
        <f>'aij-UNIFAC (VLE)'!$X20*(1-LN(V33)-AH33)</f>
        <v>3.1273387775962229</v>
      </c>
      <c r="AO33" s="104">
        <f>'aij-UNIFAC (VLE)'!$X20*(1-LN(W33)-AI33)</f>
        <v>2.8028514221123091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3.1273387775962229</v>
      </c>
      <c r="AT33" s="202"/>
      <c r="AU33" s="202"/>
    </row>
    <row r="34" spans="1:110" s="72" customFormat="1" ht="13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0.36963380805147561</v>
      </c>
      <c r="W34" s="96">
        <v>0.63501167754722498</v>
      </c>
      <c r="X34" s="96">
        <v>1.379826956003839</v>
      </c>
      <c r="Y34" s="99">
        <v>0.45834648710020293</v>
      </c>
      <c r="Z34" s="99">
        <v>0.20233036858676409</v>
      </c>
      <c r="AA34" s="100">
        <v>0.36963380805147561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0.78815681819439276</v>
      </c>
      <c r="AI34" s="99">
        <v>0.60796834308085512</v>
      </c>
      <c r="AJ34" s="99">
        <v>0.79416829696741542</v>
      </c>
      <c r="AK34" s="99">
        <v>1.1573204488162152</v>
      </c>
      <c r="AL34" s="99">
        <v>0.91415651555016475</v>
      </c>
      <c r="AM34" s="100">
        <v>0.78815681819439276</v>
      </c>
      <c r="AN34" s="103">
        <f>'aij-UNIFAC (VLE)'!$X21*(1-LN(V34)-AH34)</f>
        <v>1.7961434519657333</v>
      </c>
      <c r="AO34" s="104">
        <f>'aij-UNIFAC (VLE)'!$X21*(1-LN(W34)-AI34)</f>
        <v>1.2590615984412232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1.7961434519657333</v>
      </c>
      <c r="AT34" s="202"/>
      <c r="AU34" s="202"/>
    </row>
    <row r="35" spans="1:110" s="72" customFormat="1" ht="13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0.10943143874528569</v>
      </c>
      <c r="W35" s="96">
        <v>0.11924746508882192</v>
      </c>
      <c r="X35" s="96">
        <v>0.87122069532215618</v>
      </c>
      <c r="Y35" s="99">
        <v>0.97325381216471885</v>
      </c>
      <c r="Z35" s="99">
        <v>0.10324307431131721</v>
      </c>
      <c r="AA35" s="100">
        <v>0.10943143874528569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0.29191449789625684</v>
      </c>
      <c r="AI35" s="99">
        <v>0.44391294529575925</v>
      </c>
      <c r="AJ35" s="99">
        <v>0.30832776533852768</v>
      </c>
      <c r="AK35" s="99">
        <v>0.28404404164935038</v>
      </c>
      <c r="AL35" s="99">
        <v>0.1833925922828181</v>
      </c>
      <c r="AM35" s="100">
        <v>0.29191449789625684</v>
      </c>
      <c r="AN35" s="103">
        <f>'aij-UNIFAC (VLE)'!$X22*(1-LN(V35)-AH35)</f>
        <v>2.7686743450889684</v>
      </c>
      <c r="AO35" s="104">
        <f>'aij-UNIFAC (VLE)'!$X22*(1-LN(W35)-AI35)</f>
        <v>2.5431441052751063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2.7686743450889684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0.38141378797184966</v>
      </c>
      <c r="W36" s="96">
        <v>0.25817280834826206</v>
      </c>
      <c r="X36" s="96">
        <v>1.3509551951326486</v>
      </c>
      <c r="Y36" s="99">
        <v>0.57656284386655121</v>
      </c>
      <c r="Z36" s="99">
        <v>0.45910918816932877</v>
      </c>
      <c r="AA36" s="100">
        <v>0.38141378797184966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0.90975624811795908</v>
      </c>
      <c r="AI36" s="99">
        <v>1.2300023968172116</v>
      </c>
      <c r="AJ36" s="99">
        <v>0.61819394101184233</v>
      </c>
      <c r="AK36" s="99">
        <v>0.87138229723735938</v>
      </c>
      <c r="AL36" s="99">
        <v>0.68042267930686384</v>
      </c>
      <c r="AM36" s="100">
        <v>0.90975624811795908</v>
      </c>
      <c r="AN36" s="103">
        <f>'aij-UNIFAC (VLE)'!$X23*(1-LN(V36)-AH36)</f>
        <v>1.821509315831604</v>
      </c>
      <c r="AO36" s="104">
        <f>'aij-UNIFAC (VLE)'!$X23*(1-LN(W36)-AI36)</f>
        <v>1.942485791027813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1.821509315831604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0.38223706732415363</v>
      </c>
      <c r="W37" s="96">
        <v>0.56187732659171519</v>
      </c>
      <c r="X37" s="96">
        <v>0.61154364936476036</v>
      </c>
      <c r="Y37" s="99">
        <v>0.59469427246946549</v>
      </c>
      <c r="Z37" s="99">
        <v>0.26898559952503881</v>
      </c>
      <c r="AA37" s="100">
        <v>0.38223706732415363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0.95805317039128113</v>
      </c>
      <c r="AI37" s="99">
        <v>0.74406172519338387</v>
      </c>
      <c r="AJ37" s="99">
        <v>1.7388038421627621</v>
      </c>
      <c r="AK37" s="99">
        <v>2.8988474463340026</v>
      </c>
      <c r="AL37" s="99">
        <v>1.1076386654561763</v>
      </c>
      <c r="AM37" s="100">
        <v>0.95805317039128113</v>
      </c>
      <c r="AN37" s="103">
        <f>'aij-UNIFAC (VLE)'!$X24*(1-LN(V37)-AH37)</f>
        <v>1.240525116367083</v>
      </c>
      <c r="AO37" s="104">
        <f>'aij-UNIFAC (VLE)'!$X24*(1-LN(W37)-AI37)</f>
        <v>1.0288587696501237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1.240525116367083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5.6114009068667398E-2</v>
      </c>
      <c r="W38" s="217">
        <v>7.2805532621638025E-2</v>
      </c>
      <c r="X38" s="217">
        <v>0.11366519662625912</v>
      </c>
      <c r="Y38" s="217">
        <v>0.57720289740292297</v>
      </c>
      <c r="Z38" s="217">
        <v>4.5591092046142444E-2</v>
      </c>
      <c r="AA38" s="215">
        <v>5.6114009068667398E-2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3.3572314766660477E-2</v>
      </c>
      <c r="AI38" s="217">
        <v>4.98814462579368E-2</v>
      </c>
      <c r="AJ38" s="217">
        <v>3.3791081038765491</v>
      </c>
      <c r="AK38" s="217">
        <v>1.031586151716448</v>
      </c>
      <c r="AL38" s="217">
        <v>2.1922873852175999E-2</v>
      </c>
      <c r="AM38" s="215">
        <v>3.3572314766660477E-2</v>
      </c>
      <c r="AN38" s="103">
        <f>'aij-UNIFAC (VLE)'!$X25*(1-LN(V38)-AH38)</f>
        <v>3.1389867329427901</v>
      </c>
      <c r="AO38" s="104">
        <f>'aij-UNIFAC (VLE)'!$X25*(1-LN(W38)-AI38)</f>
        <v>2.9131868164131518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3.1389867329427901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1.4285714285714285E-21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3.1384615384615381E-21</v>
      </c>
      <c r="V39" s="216">
        <v>9.8819372460992497E-2</v>
      </c>
      <c r="W39" s="217">
        <v>8.4216881167580304E-2</v>
      </c>
      <c r="X39" s="217">
        <v>0.52601037662653871</v>
      </c>
      <c r="Y39" s="217">
        <v>0.29581053808429919</v>
      </c>
      <c r="Z39" s="217">
        <v>0.1080252908851002</v>
      </c>
      <c r="AA39" s="215">
        <v>9.8819372460992497E-2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3.1759577705276359E-20</v>
      </c>
      <c r="AH39" s="216">
        <v>0.43035911370398738</v>
      </c>
      <c r="AI39" s="217">
        <v>0.5459905431365637</v>
      </c>
      <c r="AJ39" s="217">
        <v>1.156750960446602</v>
      </c>
      <c r="AK39" s="217">
        <v>1.8218302610282484</v>
      </c>
      <c r="AL39" s="217">
        <v>0.34731560710181775</v>
      </c>
      <c r="AM39" s="215">
        <v>0.43035911370398738</v>
      </c>
      <c r="AN39" s="103">
        <f>'aij-UNIFAC (VLE)'!$X26*(1-LN(V39)-AH39)</f>
        <v>3.5301414626984382</v>
      </c>
      <c r="AO39" s="104">
        <f>'aij-UNIFAC (VLE)'!$X26*(1-LN(W39)-AI39)</f>
        <v>3.5843240792180477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3.5301414626984382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0.93926474424588247</v>
      </c>
      <c r="W40" s="217">
        <v>1.1046347960133651</v>
      </c>
      <c r="X40" s="217">
        <v>0.98812070393732288</v>
      </c>
      <c r="Y40" s="217">
        <v>0.82033522259938541</v>
      </c>
      <c r="Z40" s="217">
        <v>0.83500971160986082</v>
      </c>
      <c r="AA40" s="215">
        <v>0.93926474424588247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0.83933678988178551</v>
      </c>
      <c r="AI40" s="217">
        <v>0.76245021826775095</v>
      </c>
      <c r="AJ40" s="217">
        <v>0.82682065592221032</v>
      </c>
      <c r="AK40" s="217">
        <v>0.75352463486109678</v>
      </c>
      <c r="AL40" s="217">
        <v>0.89192613295238909</v>
      </c>
      <c r="AM40" s="215">
        <v>0.83933678988178551</v>
      </c>
      <c r="AN40" s="103">
        <f>'aij-UNIFAC (VLE)'!$X27*(1-LN(V40)-AH40)</f>
        <v>0.32336896275733029</v>
      </c>
      <c r="AO40" s="104">
        <f>'aij-UNIFAC (VLE)'!$X27*(1-LN(W40)-AI40)</f>
        <v>0.19987468396101873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0.32336896275733029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0.98570585349363316</v>
      </c>
      <c r="W41" s="217">
        <v>1.0901235908801163</v>
      </c>
      <c r="X41" s="217">
        <v>0.89909839911663192</v>
      </c>
      <c r="Y41" s="217">
        <v>1.1377292630095184</v>
      </c>
      <c r="Z41" s="217">
        <v>0.9198772799238939</v>
      </c>
      <c r="AA41" s="215">
        <v>0.98570585349363316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0.86806815156717465</v>
      </c>
      <c r="AI41" s="217">
        <v>0.84249851776978302</v>
      </c>
      <c r="AJ41" s="217">
        <v>0.84107387810592704</v>
      </c>
      <c r="AK41" s="217">
        <v>0.66453531029506518</v>
      </c>
      <c r="AL41" s="217">
        <v>0.88418195758547224</v>
      </c>
      <c r="AM41" s="215">
        <v>0.86806815156717465</v>
      </c>
      <c r="AN41" s="103">
        <f>'aij-UNIFAC (VLE)'!$X28*(1-LN(V41)-AH41)</f>
        <v>0.31958284252060676</v>
      </c>
      <c r="AO41" s="104">
        <f>'aij-UNIFAC (VLE)'!$X28*(1-LN(W41)-AI41)</f>
        <v>0.15552352733373184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0.31958284252060676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0.4007834002914521</v>
      </c>
      <c r="W42" s="220">
        <v>0.59440000275155769</v>
      </c>
      <c r="X42" s="220">
        <v>1.5293860873730512</v>
      </c>
      <c r="Y42" s="220">
        <v>1.8231530103147302</v>
      </c>
      <c r="Z42" s="220">
        <v>0.2787207596100813</v>
      </c>
      <c r="AA42" s="218">
        <v>0.4007834002914521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0.93251976136969439</v>
      </c>
      <c r="AI42" s="220">
        <v>0.96055119407174117</v>
      </c>
      <c r="AJ42" s="220">
        <v>1.8245499330475901</v>
      </c>
      <c r="AK42" s="220">
        <v>0.85752174774019463</v>
      </c>
      <c r="AL42" s="220">
        <v>0.91045405745338392</v>
      </c>
      <c r="AM42" s="218">
        <v>0.93251976136969439</v>
      </c>
      <c r="AN42" s="115">
        <f>'aij-UNIFAC (VLE)'!$X29*(1-LN(V42)-AH42)</f>
        <v>1.7790476658699921</v>
      </c>
      <c r="AO42" s="116">
        <f>'aij-UNIFAC (VLE)'!$X29*(1-LN(W42)-AI42)</f>
        <v>1.0140886754224137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1.7790476658699921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143</v>
      </c>
      <c r="C43" s="83">
        <f>C21*SUM(C23:C42)</f>
        <v>7</v>
      </c>
      <c r="D43" s="83">
        <f>D21*SUM(D23:D42)</f>
        <v>1.9999999999999999E-20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7</v>
      </c>
      <c r="I43" s="118" t="s">
        <v>144</v>
      </c>
      <c r="J43" s="36">
        <f t="array" ref="J43">SUM(J23:J42*_Q)</f>
        <v>0.55714285714285716</v>
      </c>
      <c r="K43" s="36">
        <f t="array" ref="K43">SUM(K23:K42*_Q)</f>
        <v>0.754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0.55714285714285716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145</v>
      </c>
      <c r="C44" s="119">
        <f>SUM(C23:C42)</f>
        <v>7</v>
      </c>
      <c r="D44" s="119">
        <f>SUM(D23:D42)</f>
        <v>2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3.9000000000000004</v>
      </c>
      <c r="D46" s="58">
        <f t="array" ref="D46">SUM(D23:D42*_Q)</f>
        <v>1.508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5.0860000000000003</v>
      </c>
      <c r="D47" s="58">
        <f t="array" ref="D47">SUM(D23:D42*_R)</f>
        <v>1.9407000000000001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146</v>
      </c>
      <c r="C48" s="58">
        <f>C21*C46/SUMPRODUCT($C46:$G46,$C21:$G21)</f>
        <v>1</v>
      </c>
      <c r="D48" s="58">
        <f>D21*D46/SUMPRODUCT($C46:$G46,$C21:$G21)</f>
        <v>3.8666666666666661E-21</v>
      </c>
      <c r="E48" s="58">
        <f>E21*E46/SUMPRODUCT($C46:$G46,$C21:$G21)</f>
        <v>6.6974358974358972E-21</v>
      </c>
      <c r="F48" s="58">
        <f>F21*F46/SUMPRODUCT($C46:$G46,$C21:$G21)</f>
        <v>6.6358974358974344E-21</v>
      </c>
      <c r="G48" s="58">
        <f>G21*G46/SUMPRODUCT($C46:$G46,$C21:$G21)</f>
        <v>8.5025641025641011E-21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147</v>
      </c>
      <c r="C49" s="58">
        <f>C21*C47/SUMPRODUCT($C47:$G47,$C21:$G21)</f>
        <v>1</v>
      </c>
      <c r="D49" s="58">
        <f>D21*D47/SUMPRODUCT($C47:$G47,$C21:$G21)</f>
        <v>3.8157687770349981E-21</v>
      </c>
      <c r="E49" s="58">
        <f>E21*E47/SUMPRODUCT($C47:$G47,$C21:$G21)</f>
        <v>5.6563114431773485E-21</v>
      </c>
      <c r="F49" s="58">
        <f>F21*F47/SUMPRODUCT($C47:$G47,$C21:$G21)</f>
        <v>5.0639009044435697E-21</v>
      </c>
      <c r="G49" s="58">
        <f>G21*G47/SUMPRODUCT($C47:$G47,$C21:$G21)</f>
        <v>7.5214313802595356E-21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148</v>
      </c>
      <c r="C50" s="58">
        <f>LN(C49/C21)+(1-C49/C21)-5*C46*(LN(C49/C48)+(1-C49/C48))</f>
        <v>0</v>
      </c>
      <c r="D50" s="58">
        <f>LN(D49/D21)+(1-D49/D21)-5*D46*(LN(D49/D48)+(1-D49/D48))</f>
        <v>-0.34436079036435868</v>
      </c>
      <c r="E50" s="58">
        <f>LN(E49/E21)+(1-E49/E21)-5*E46*(LN(E49/E48)+(1-E49/E48))</f>
        <v>4.0886113555853948E-2</v>
      </c>
      <c r="F50" s="58">
        <f>LN(F49/F21)+(1-F49/F21)-5*F46*(LN(F49/F48)+(1-F49/F48))</f>
        <v>0.24618569444863136</v>
      </c>
      <c r="G50" s="58">
        <f>LN(G49/G21)+(1-G49/G21)-5*G46*(LN(G49/G48)+(1-G49/G48))</f>
        <v>8.2715012278360769E-2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149</v>
      </c>
      <c r="C51" s="58">
        <f t="array" ref="C51">SUM(C23:C42*AN23:AN42)</f>
        <v>-3.8204034929315124E-3</v>
      </c>
      <c r="D51" s="58">
        <f t="array" ref="D51">SUM(D23:D42*AO23:AO42)</f>
        <v>-2.6706404467246722E-3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150</v>
      </c>
      <c r="C52" s="58">
        <f t="array" ref="C52">SUM(C23:C42*$AS23:$AS42)</f>
        <v>-3.8204034929315124E-3</v>
      </c>
      <c r="D52" s="58">
        <f t="array" ref="D52">SUM(D23:D42*$AS23:$AS42)</f>
        <v>-3.4003545190160324E-3</v>
      </c>
      <c r="E52" s="58">
        <f t="array" ref="E52">SUM(E23:E42*$AS23:$AS42)</f>
        <v>3.5298977219058818</v>
      </c>
      <c r="F52" s="58">
        <f t="array" ref="F52">SUM(F23:F42*$AS23:$AS42)</f>
        <v>4.2149273905667215</v>
      </c>
      <c r="G52" s="58">
        <f t="array" ref="G52">SUM(G23:G42*$AS23:$AS42)</f>
        <v>-5.8230869460858389E-4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BL71"/>
  <sheetViews>
    <sheetView workbookViewId="0">
      <selection activeCell="F1" sqref="F1"/>
    </sheetView>
  </sheetViews>
  <sheetFormatPr baseColWidth="10" defaultColWidth="10.6640625" defaultRowHeight="13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267</v>
      </c>
    </row>
    <row r="2" spans="1:45" s="221" customFormat="1">
      <c r="A2" s="221" t="s">
        <v>268</v>
      </c>
    </row>
    <row r="3" spans="1:45" s="221" customFormat="1">
      <c r="T3" s="221" t="s">
        <v>269</v>
      </c>
    </row>
    <row r="4" spans="1:45" s="221" customFormat="1">
      <c r="A4" s="223" t="s">
        <v>270</v>
      </c>
      <c r="T4" s="221" t="s">
        <v>271</v>
      </c>
    </row>
    <row r="5" spans="1:45" s="221" customFormat="1">
      <c r="A5" s="221" t="s">
        <v>154</v>
      </c>
    </row>
    <row r="6" spans="1:45" s="221" customFormat="1">
      <c r="A6" s="221" t="s">
        <v>272</v>
      </c>
      <c r="F6" s="224"/>
      <c r="G6" s="224"/>
      <c r="T6" s="225" t="s">
        <v>156</v>
      </c>
      <c r="U6" s="221">
        <f>'UNIFAC (VLE)'!C10</f>
        <v>25</v>
      </c>
      <c r="V6" s="221" t="s">
        <v>129</v>
      </c>
    </row>
    <row r="7" spans="1:45" ht="15">
      <c r="A7" s="222" t="s">
        <v>273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298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274</v>
      </c>
      <c r="F8" s="224"/>
      <c r="G8" s="224"/>
      <c r="H8" s="224"/>
      <c r="I8" s="224"/>
      <c r="J8" s="224"/>
      <c r="K8" s="224"/>
      <c r="L8" s="224"/>
      <c r="M8" s="224"/>
      <c r="T8" s="228" t="s">
        <v>275</v>
      </c>
      <c r="U8" s="229" t="s">
        <v>158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159</v>
      </c>
      <c r="U9" s="225" t="s">
        <v>159</v>
      </c>
      <c r="V9" s="224"/>
      <c r="W9" s="231" t="s">
        <v>160</v>
      </c>
      <c r="X9" s="232" t="s">
        <v>135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276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277</v>
      </c>
    </row>
    <row r="31" spans="1:45">
      <c r="A31" s="222" t="s">
        <v>278</v>
      </c>
    </row>
    <row r="32" spans="1:45">
      <c r="A32" s="222" t="s">
        <v>279</v>
      </c>
      <c r="T32" s="222"/>
      <c r="V32" s="221" t="s">
        <v>299</v>
      </c>
    </row>
    <row r="33" spans="1:64">
      <c r="A33" s="254"/>
      <c r="C33" s="250"/>
      <c r="D33" s="250"/>
      <c r="E33" s="250"/>
      <c r="T33" s="222"/>
      <c r="V33" s="221" t="s">
        <v>271</v>
      </c>
    </row>
    <row r="34" spans="1:64">
      <c r="A34" s="222" t="s">
        <v>266</v>
      </c>
      <c r="B34" s="222" t="s">
        <v>280</v>
      </c>
      <c r="D34" s="222" t="s">
        <v>160</v>
      </c>
      <c r="E34" s="222" t="s">
        <v>135</v>
      </c>
      <c r="U34" s="225"/>
      <c r="V34" s="256" t="s">
        <v>281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161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162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163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129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282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283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284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285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286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164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287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166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165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288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167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289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169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170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171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290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172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173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291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292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174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175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293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176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294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101</vt:i4>
      </vt:variant>
    </vt:vector>
  </HeadingPairs>
  <TitlesOfParts>
    <vt:vector size="115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  <vt:lpstr>_del1</vt:lpstr>
      <vt:lpstr>_del2</vt:lpstr>
      <vt:lpstr>UNIQUAC!_l1</vt:lpstr>
      <vt:lpstr>UNIQUAC!_l2</vt:lpstr>
      <vt:lpstr>UNIQUAC!_lf1</vt:lpstr>
      <vt:lpstr>UNIQUAC!_lf2</vt:lpstr>
      <vt:lpstr>UNIQUAC!_phi1</vt:lpstr>
      <vt:lpstr>UNIQUAC!_phi2</vt:lpstr>
      <vt:lpstr>_Q</vt:lpstr>
      <vt:lpstr>UNIQUAC!_q1</vt:lpstr>
      <vt:lpstr>UNIQUAC!_q2</vt:lpstr>
      <vt:lpstr>_QL</vt:lpstr>
      <vt:lpstr>UNIQUAC!_qp1</vt:lpstr>
      <vt:lpstr>UNIQUAC!_qp2</vt:lpstr>
      <vt:lpstr>_R</vt:lpstr>
      <vt:lpstr>UNIQUAC!_r1</vt:lpstr>
      <vt:lpstr>UNIQUAC!_r2</vt:lpstr>
      <vt:lpstr>_RL</vt:lpstr>
      <vt:lpstr>_T</vt:lpstr>
      <vt:lpstr>_T.</vt:lpstr>
      <vt:lpstr>UNIQUAC!_tau12</vt:lpstr>
      <vt:lpstr>UNIQUAC!_tau21</vt:lpstr>
      <vt:lpstr>UNIQUAC!_x1</vt:lpstr>
      <vt:lpstr>UNIQUAC!_x2</vt:lpstr>
      <vt:lpstr>A.</vt:lpstr>
      <vt:lpstr>A12_</vt:lpstr>
      <vt:lpstr>A12.</vt:lpstr>
      <vt:lpstr>A12..</vt:lpstr>
      <vt:lpstr>A21_</vt:lpstr>
      <vt:lpstr>A21.</vt:lpstr>
      <vt:lpstr>A21..</vt:lpstr>
      <vt:lpstr>act</vt:lpstr>
      <vt:lpstr>Margules!activity1</vt:lpstr>
      <vt:lpstr>Margules!activity2</vt:lpstr>
      <vt:lpstr>B.</vt:lpstr>
      <vt:lpstr>C.</vt:lpstr>
      <vt:lpstr>column</vt:lpstr>
      <vt:lpstr>g.</vt:lpstr>
      <vt:lpstr>g12.</vt:lpstr>
      <vt:lpstr>g21.</vt:lpstr>
      <vt:lpstr>galpha</vt:lpstr>
      <vt:lpstr>gam1.</vt:lpstr>
      <vt:lpstr>gam1..</vt:lpstr>
      <vt:lpstr>gam1...</vt:lpstr>
      <vt:lpstr>gam2.</vt:lpstr>
      <vt:lpstr>gam2..</vt:lpstr>
      <vt:lpstr>gam2...</vt:lpstr>
      <vt:lpstr>gamma1_</vt:lpstr>
      <vt:lpstr>Margules!gamma2_</vt:lpstr>
      <vt:lpstr>UNIQUAC5!gbeta</vt:lpstr>
      <vt:lpstr>MGaij</vt:lpstr>
      <vt:lpstr>P1sat.</vt:lpstr>
      <vt:lpstr>P1sat..</vt:lpstr>
      <vt:lpstr>P1sat...</vt:lpstr>
      <vt:lpstr>P2sat.</vt:lpstr>
      <vt:lpstr>P2sat..</vt:lpstr>
      <vt:lpstr>P2sat...</vt:lpstr>
      <vt:lpstr>Pexpt</vt:lpstr>
      <vt:lpstr>phir1</vt:lpstr>
      <vt:lpstr>Psat</vt:lpstr>
      <vt:lpstr>q</vt:lpstr>
      <vt:lpstr>'UNIFAC (LLEb)'!qL</vt:lpstr>
      <vt:lpstr>qL</vt:lpstr>
      <vt:lpstr>row</vt:lpstr>
      <vt:lpstr>T</vt:lpstr>
      <vt:lpstr>'UNIFAC (VLE)'!T_</vt:lpstr>
      <vt:lpstr>T.</vt:lpstr>
      <vt:lpstr>T..</vt:lpstr>
      <vt:lpstr>T...</vt:lpstr>
      <vt:lpstr>t12.</vt:lpstr>
      <vt:lpstr>t21.</vt:lpstr>
      <vt:lpstr>tau</vt:lpstr>
      <vt:lpstr>tauL</vt:lpstr>
      <vt:lpstr>'UNIFAC (LLEa)'!TC.</vt:lpstr>
      <vt:lpstr>'UNIFAC (LLEb)'!TC..</vt:lpstr>
      <vt:lpstr>UNIQUAC!theta1</vt:lpstr>
      <vt:lpstr>UNIQUAC!theta2</vt:lpstr>
      <vt:lpstr>UNIQUAC!thetap1</vt:lpstr>
      <vt:lpstr>UNIQUAC!thetap2</vt:lpstr>
      <vt:lpstr>UNIQUAC!TK</vt:lpstr>
      <vt:lpstr>TK</vt:lpstr>
      <vt:lpstr>V1_</vt:lpstr>
      <vt:lpstr>V2_</vt:lpstr>
      <vt:lpstr>x.</vt:lpstr>
      <vt:lpstr>x1_</vt:lpstr>
      <vt:lpstr>x1__</vt:lpstr>
      <vt:lpstr>NRTL!x1.</vt:lpstr>
      <vt:lpstr>x1.</vt:lpstr>
      <vt:lpstr>x1..</vt:lpstr>
      <vt:lpstr>x1...</vt:lpstr>
      <vt:lpstr>x2_</vt:lpstr>
      <vt:lpstr>x2.</vt:lpstr>
      <vt:lpstr>UNIQUAC5!xalpha</vt:lpstr>
      <vt:lpstr>UNIQUAC5!xbeta</vt:lpstr>
      <vt:lpstr>'UNIFAC (LLEb)'!XL</vt:lpstr>
      <vt:lpstr>y1.</vt:lpstr>
      <vt:lpstr>y1..</vt:lpstr>
      <vt:lpstr>y1...</vt:lpstr>
      <vt:lpstr>y2.</vt:lpstr>
      <vt:lpstr>y2..</vt:lpstr>
      <vt:lpstr>y2...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Microsoft Office User</cp:lastModifiedBy>
  <cp:lastPrinted>1999-12-22T07:05:21Z</cp:lastPrinted>
  <dcterms:created xsi:type="dcterms:W3CDTF">1997-12-10T20:16:28Z</dcterms:created>
  <dcterms:modified xsi:type="dcterms:W3CDTF">2019-04-17T04:33:52Z</dcterms:modified>
</cp:coreProperties>
</file>